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/>
  <mc:AlternateContent xmlns:mc="http://schemas.openxmlformats.org/markup-compatibility/2006">
    <mc:Choice Requires="x15">
      <x15ac:absPath xmlns:x15ac="http://schemas.microsoft.com/office/spreadsheetml/2010/11/ac" url="/Users/peterminges/Library/Mobile Documents/com~apple~CloudDocs/_Peter/_Blutdruck_Excel/Public_Free/2026_free/"/>
    </mc:Choice>
  </mc:AlternateContent>
  <xr:revisionPtr revIDLastSave="0" documentId="13_ncr:1_{FBFAE685-9EF3-7440-BADD-8DF4381E9E5F}" xr6:coauthVersionLast="47" xr6:coauthVersionMax="47" xr10:uidLastSave="{00000000-0000-0000-0000-000000000000}"/>
  <bookViews>
    <workbookView xWindow="0" yWindow="500" windowWidth="40960" windowHeight="21020" xr2:uid="{00000000-000D-0000-FFFF-FFFF00000000}"/>
  </bookViews>
  <sheets>
    <sheet name="Referenzwerte" sheetId="1" r:id="rId1"/>
    <sheet name="Jahresübersicht" sheetId="2" r:id="rId2"/>
    <sheet name="Januar" sheetId="3" r:id="rId3"/>
    <sheet name="Februar" sheetId="4" r:id="rId4"/>
    <sheet name="März" sheetId="5" r:id="rId5"/>
    <sheet name="April" sheetId="6" r:id="rId6"/>
    <sheet name="Mai" sheetId="7" r:id="rId7"/>
    <sheet name="Juni" sheetId="8" r:id="rId8"/>
    <sheet name="Juli" sheetId="9" r:id="rId9"/>
    <sheet name="August" sheetId="10" r:id="rId10"/>
    <sheet name="September" sheetId="11" r:id="rId11"/>
    <sheet name="Oktober" sheetId="12" r:id="rId12"/>
    <sheet name="November" sheetId="13" r:id="rId13"/>
    <sheet name="Dezember" sheetId="14" r:id="rId14"/>
  </sheets>
  <definedNames>
    <definedName name="_xlnm.Print_Area" localSheetId="5">April!$A$1:$M$34</definedName>
    <definedName name="_xlnm.Print_Area" localSheetId="9">August!$A$1:$M$34</definedName>
    <definedName name="_xlnm.Print_Area" localSheetId="13">Dezember!$A$1:$M$34</definedName>
    <definedName name="_xlnm.Print_Area" localSheetId="3">Februar!$A$1:$M$34</definedName>
    <definedName name="_xlnm.Print_Area" localSheetId="2">Januar!$A$1:$M$34</definedName>
    <definedName name="_xlnm.Print_Area" localSheetId="8">Juli!$A$1:$M$34</definedName>
    <definedName name="_xlnm.Print_Area" localSheetId="7">Juni!$A$1:$M$34</definedName>
    <definedName name="_xlnm.Print_Area" localSheetId="6">Mai!$A$1:$M$34</definedName>
    <definedName name="_xlnm.Print_Area" localSheetId="4">März!$A$1:$M$34</definedName>
    <definedName name="_xlnm.Print_Area" localSheetId="12">November!$A$1:$M$34</definedName>
    <definedName name="_xlnm.Print_Area" localSheetId="11">Oktober!$A$1:$M$34</definedName>
    <definedName name="_xlnm.Print_Area" localSheetId="10">September!$A$1:$M$34</definedName>
    <definedName name="_xlnm.Print_Titles" localSheetId="5">April!$1:$3</definedName>
    <definedName name="_xlnm.Print_Titles" localSheetId="9">August!$1:$3</definedName>
    <definedName name="_xlnm.Print_Titles" localSheetId="13">Dezember!$1:$3</definedName>
    <definedName name="_xlnm.Print_Titles" localSheetId="3">Februar!$1:$3</definedName>
    <definedName name="_xlnm.Print_Titles" localSheetId="1">Jahresübersicht!$1:$6</definedName>
    <definedName name="_xlnm.Print_Titles" localSheetId="2">Januar!$1:$3</definedName>
    <definedName name="_xlnm.Print_Titles" localSheetId="8">Juli!$1:$3</definedName>
    <definedName name="_xlnm.Print_Titles" localSheetId="7">Juni!$1:$3</definedName>
    <definedName name="_xlnm.Print_Titles" localSheetId="6">Mai!$1:$3</definedName>
    <definedName name="_xlnm.Print_Titles" localSheetId="4">März!$1:$3</definedName>
    <definedName name="_xlnm.Print_Titles" localSheetId="12">November!$1:$3</definedName>
    <definedName name="_xlnm.Print_Titles" localSheetId="11">Oktober!$1:$3</definedName>
    <definedName name="_xlnm.Print_Titles" localSheetId="10">September!$1:$3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4" i="14" l="1"/>
  <c r="I34" i="14"/>
  <c r="E34" i="14"/>
  <c r="A34" i="14"/>
  <c r="M33" i="14"/>
  <c r="I33" i="14"/>
  <c r="E33" i="14"/>
  <c r="A33" i="14"/>
  <c r="M32" i="14"/>
  <c r="I32" i="14"/>
  <c r="E32" i="14"/>
  <c r="A32" i="14"/>
  <c r="M31" i="14"/>
  <c r="I31" i="14"/>
  <c r="E31" i="14"/>
  <c r="A31" i="14"/>
  <c r="M30" i="14"/>
  <c r="I30" i="14"/>
  <c r="E30" i="14"/>
  <c r="A30" i="14"/>
  <c r="M29" i="14"/>
  <c r="I29" i="14"/>
  <c r="E29" i="14"/>
  <c r="A29" i="14"/>
  <c r="M28" i="14"/>
  <c r="I28" i="14"/>
  <c r="E28" i="14"/>
  <c r="A28" i="14"/>
  <c r="M27" i="14"/>
  <c r="I27" i="14"/>
  <c r="E27" i="14"/>
  <c r="A27" i="14"/>
  <c r="M26" i="14"/>
  <c r="I26" i="14"/>
  <c r="E26" i="14"/>
  <c r="A26" i="14"/>
  <c r="M25" i="14"/>
  <c r="I25" i="14"/>
  <c r="E25" i="14"/>
  <c r="A25" i="14"/>
  <c r="M24" i="14"/>
  <c r="I24" i="14"/>
  <c r="E24" i="14"/>
  <c r="A24" i="14"/>
  <c r="M23" i="14"/>
  <c r="I23" i="14"/>
  <c r="E23" i="14"/>
  <c r="A23" i="14"/>
  <c r="M22" i="14"/>
  <c r="I22" i="14"/>
  <c r="E22" i="14"/>
  <c r="A22" i="14"/>
  <c r="M21" i="14"/>
  <c r="I21" i="14"/>
  <c r="E21" i="14"/>
  <c r="A21" i="14"/>
  <c r="M20" i="14"/>
  <c r="I20" i="14"/>
  <c r="E20" i="14"/>
  <c r="A20" i="14"/>
  <c r="M19" i="14"/>
  <c r="I19" i="14"/>
  <c r="E19" i="14"/>
  <c r="A19" i="14"/>
  <c r="M18" i="14"/>
  <c r="I18" i="14"/>
  <c r="E18" i="14"/>
  <c r="A18" i="14"/>
  <c r="M17" i="14"/>
  <c r="I17" i="14"/>
  <c r="E17" i="14"/>
  <c r="A17" i="14"/>
  <c r="M16" i="14"/>
  <c r="I16" i="14"/>
  <c r="E16" i="14"/>
  <c r="A16" i="14"/>
  <c r="M15" i="14"/>
  <c r="I15" i="14"/>
  <c r="E15" i="14"/>
  <c r="A15" i="14"/>
  <c r="M14" i="14"/>
  <c r="I14" i="14"/>
  <c r="E14" i="14"/>
  <c r="A14" i="14"/>
  <c r="M13" i="14"/>
  <c r="I13" i="14"/>
  <c r="E13" i="14"/>
  <c r="A13" i="14"/>
  <c r="M12" i="14"/>
  <c r="I12" i="14"/>
  <c r="E12" i="14"/>
  <c r="A12" i="14"/>
  <c r="M11" i="14"/>
  <c r="I11" i="14"/>
  <c r="E11" i="14"/>
  <c r="A11" i="14"/>
  <c r="M10" i="14"/>
  <c r="I10" i="14"/>
  <c r="E10" i="14"/>
  <c r="A10" i="14"/>
  <c r="M9" i="14"/>
  <c r="I9" i="14"/>
  <c r="E9" i="14"/>
  <c r="A9" i="14"/>
  <c r="M8" i="14"/>
  <c r="I8" i="14"/>
  <c r="E8" i="14"/>
  <c r="A8" i="14"/>
  <c r="M7" i="14"/>
  <c r="I7" i="14"/>
  <c r="E7" i="14"/>
  <c r="A7" i="14"/>
  <c r="M6" i="14"/>
  <c r="I6" i="14"/>
  <c r="E6" i="14"/>
  <c r="A6" i="14"/>
  <c r="M5" i="14"/>
  <c r="I5" i="14"/>
  <c r="E5" i="14"/>
  <c r="A5" i="14"/>
  <c r="M4" i="14"/>
  <c r="I4" i="14"/>
  <c r="E4" i="14"/>
  <c r="A4" i="14"/>
  <c r="F2" i="14"/>
  <c r="D2" i="14"/>
  <c r="B2" i="14"/>
  <c r="M34" i="13"/>
  <c r="I34" i="13"/>
  <c r="E34" i="13"/>
  <c r="A34" i="13"/>
  <c r="M33" i="13"/>
  <c r="I33" i="13"/>
  <c r="E33" i="13"/>
  <c r="A33" i="13"/>
  <c r="M32" i="13"/>
  <c r="I32" i="13"/>
  <c r="E32" i="13"/>
  <c r="A32" i="13"/>
  <c r="M31" i="13"/>
  <c r="I31" i="13"/>
  <c r="E31" i="13"/>
  <c r="A31" i="13"/>
  <c r="M30" i="13"/>
  <c r="I30" i="13"/>
  <c r="E30" i="13"/>
  <c r="A30" i="13"/>
  <c r="M29" i="13"/>
  <c r="I29" i="13"/>
  <c r="E29" i="13"/>
  <c r="A29" i="13"/>
  <c r="M28" i="13"/>
  <c r="I28" i="13"/>
  <c r="E28" i="13"/>
  <c r="A28" i="13"/>
  <c r="M27" i="13"/>
  <c r="I27" i="13"/>
  <c r="E27" i="13"/>
  <c r="A27" i="13"/>
  <c r="M26" i="13"/>
  <c r="I26" i="13"/>
  <c r="E26" i="13"/>
  <c r="A26" i="13"/>
  <c r="M25" i="13"/>
  <c r="I25" i="13"/>
  <c r="E25" i="13"/>
  <c r="A25" i="13"/>
  <c r="M24" i="13"/>
  <c r="I24" i="13"/>
  <c r="E24" i="13"/>
  <c r="A24" i="13"/>
  <c r="M23" i="13"/>
  <c r="I23" i="13"/>
  <c r="E23" i="13"/>
  <c r="A23" i="13"/>
  <c r="M22" i="13"/>
  <c r="I22" i="13"/>
  <c r="E22" i="13"/>
  <c r="A22" i="13"/>
  <c r="M21" i="13"/>
  <c r="I21" i="13"/>
  <c r="E21" i="13"/>
  <c r="A21" i="13"/>
  <c r="M20" i="13"/>
  <c r="I20" i="13"/>
  <c r="E20" i="13"/>
  <c r="A20" i="13"/>
  <c r="M19" i="13"/>
  <c r="I19" i="13"/>
  <c r="E19" i="13"/>
  <c r="A19" i="13"/>
  <c r="M18" i="13"/>
  <c r="I18" i="13"/>
  <c r="E18" i="13"/>
  <c r="A18" i="13"/>
  <c r="M17" i="13"/>
  <c r="I17" i="13"/>
  <c r="E17" i="13"/>
  <c r="A17" i="13"/>
  <c r="M16" i="13"/>
  <c r="I16" i="13"/>
  <c r="E16" i="13"/>
  <c r="A16" i="13"/>
  <c r="M15" i="13"/>
  <c r="I15" i="13"/>
  <c r="E15" i="13"/>
  <c r="A15" i="13"/>
  <c r="M14" i="13"/>
  <c r="I14" i="13"/>
  <c r="E14" i="13"/>
  <c r="A14" i="13"/>
  <c r="M13" i="13"/>
  <c r="I13" i="13"/>
  <c r="E13" i="13"/>
  <c r="A13" i="13"/>
  <c r="M12" i="13"/>
  <c r="I12" i="13"/>
  <c r="E12" i="13"/>
  <c r="A12" i="13"/>
  <c r="M11" i="13"/>
  <c r="I11" i="13"/>
  <c r="E11" i="13"/>
  <c r="A11" i="13"/>
  <c r="M10" i="13"/>
  <c r="I10" i="13"/>
  <c r="E10" i="13"/>
  <c r="A10" i="13"/>
  <c r="M9" i="13"/>
  <c r="I9" i="13"/>
  <c r="E9" i="13"/>
  <c r="A9" i="13"/>
  <c r="M8" i="13"/>
  <c r="I8" i="13"/>
  <c r="E8" i="13"/>
  <c r="A8" i="13"/>
  <c r="M7" i="13"/>
  <c r="I7" i="13"/>
  <c r="E7" i="13"/>
  <c r="A7" i="13"/>
  <c r="M6" i="13"/>
  <c r="I6" i="13"/>
  <c r="E6" i="13"/>
  <c r="A6" i="13"/>
  <c r="M5" i="13"/>
  <c r="I5" i="13"/>
  <c r="E5" i="13"/>
  <c r="A5" i="13"/>
  <c r="M4" i="13"/>
  <c r="I4" i="13"/>
  <c r="E4" i="13"/>
  <c r="A4" i="13"/>
  <c r="F2" i="13"/>
  <c r="D2" i="13"/>
  <c r="B2" i="13"/>
  <c r="M34" i="12"/>
  <c r="I34" i="12"/>
  <c r="E34" i="12"/>
  <c r="A34" i="12"/>
  <c r="M33" i="12"/>
  <c r="I33" i="12"/>
  <c r="E33" i="12"/>
  <c r="A33" i="12"/>
  <c r="M32" i="12"/>
  <c r="I32" i="12"/>
  <c r="E32" i="12"/>
  <c r="A32" i="12"/>
  <c r="M31" i="12"/>
  <c r="I31" i="12"/>
  <c r="E31" i="12"/>
  <c r="A31" i="12"/>
  <c r="M30" i="12"/>
  <c r="I30" i="12"/>
  <c r="E30" i="12"/>
  <c r="A30" i="12"/>
  <c r="M29" i="12"/>
  <c r="I29" i="12"/>
  <c r="E29" i="12"/>
  <c r="A29" i="12"/>
  <c r="M28" i="12"/>
  <c r="I28" i="12"/>
  <c r="E28" i="12"/>
  <c r="A28" i="12"/>
  <c r="M27" i="12"/>
  <c r="I27" i="12"/>
  <c r="E27" i="12"/>
  <c r="A27" i="12"/>
  <c r="M26" i="12"/>
  <c r="I26" i="12"/>
  <c r="E26" i="12"/>
  <c r="A26" i="12"/>
  <c r="M25" i="12"/>
  <c r="I25" i="12"/>
  <c r="E25" i="12"/>
  <c r="A25" i="12"/>
  <c r="M24" i="12"/>
  <c r="I24" i="12"/>
  <c r="E24" i="12"/>
  <c r="A24" i="12"/>
  <c r="M23" i="12"/>
  <c r="I23" i="12"/>
  <c r="E23" i="12"/>
  <c r="A23" i="12"/>
  <c r="M22" i="12"/>
  <c r="I22" i="12"/>
  <c r="E22" i="12"/>
  <c r="A22" i="12"/>
  <c r="M21" i="12"/>
  <c r="I21" i="12"/>
  <c r="E21" i="12"/>
  <c r="A21" i="12"/>
  <c r="M20" i="12"/>
  <c r="I20" i="12"/>
  <c r="E20" i="12"/>
  <c r="A20" i="12"/>
  <c r="M19" i="12"/>
  <c r="I19" i="12"/>
  <c r="E19" i="12"/>
  <c r="A19" i="12"/>
  <c r="M18" i="12"/>
  <c r="I18" i="12"/>
  <c r="E18" i="12"/>
  <c r="A18" i="12"/>
  <c r="M17" i="12"/>
  <c r="I17" i="12"/>
  <c r="E17" i="12"/>
  <c r="A17" i="12"/>
  <c r="M16" i="12"/>
  <c r="I16" i="12"/>
  <c r="E16" i="12"/>
  <c r="A16" i="12"/>
  <c r="M15" i="12"/>
  <c r="I15" i="12"/>
  <c r="E15" i="12"/>
  <c r="A15" i="12"/>
  <c r="M14" i="12"/>
  <c r="I14" i="12"/>
  <c r="E14" i="12"/>
  <c r="A14" i="12"/>
  <c r="M13" i="12"/>
  <c r="I13" i="12"/>
  <c r="E13" i="12"/>
  <c r="A13" i="12"/>
  <c r="M12" i="12"/>
  <c r="I12" i="12"/>
  <c r="E12" i="12"/>
  <c r="A12" i="12"/>
  <c r="M11" i="12"/>
  <c r="I11" i="12"/>
  <c r="E11" i="12"/>
  <c r="A11" i="12"/>
  <c r="M10" i="12"/>
  <c r="I10" i="12"/>
  <c r="E10" i="12"/>
  <c r="A10" i="12"/>
  <c r="M9" i="12"/>
  <c r="I9" i="12"/>
  <c r="E9" i="12"/>
  <c r="A9" i="12"/>
  <c r="M8" i="12"/>
  <c r="I8" i="12"/>
  <c r="E8" i="12"/>
  <c r="A8" i="12"/>
  <c r="M7" i="12"/>
  <c r="I7" i="12"/>
  <c r="E7" i="12"/>
  <c r="A7" i="12"/>
  <c r="M6" i="12"/>
  <c r="I6" i="12"/>
  <c r="E6" i="12"/>
  <c r="A6" i="12"/>
  <c r="M5" i="12"/>
  <c r="I5" i="12"/>
  <c r="E5" i="12"/>
  <c r="A5" i="12"/>
  <c r="M4" i="12"/>
  <c r="I4" i="12"/>
  <c r="E4" i="12"/>
  <c r="A4" i="12"/>
  <c r="F2" i="12"/>
  <c r="D2" i="12"/>
  <c r="B2" i="12"/>
  <c r="M34" i="11"/>
  <c r="I34" i="11"/>
  <c r="E34" i="11"/>
  <c r="A34" i="11"/>
  <c r="M33" i="11"/>
  <c r="I33" i="11"/>
  <c r="E33" i="11"/>
  <c r="A33" i="11"/>
  <c r="M32" i="11"/>
  <c r="I32" i="11"/>
  <c r="E32" i="11"/>
  <c r="A32" i="11"/>
  <c r="M31" i="11"/>
  <c r="I31" i="11"/>
  <c r="E31" i="11"/>
  <c r="A31" i="11"/>
  <c r="M30" i="11"/>
  <c r="I30" i="11"/>
  <c r="E30" i="11"/>
  <c r="A30" i="11"/>
  <c r="M29" i="11"/>
  <c r="I29" i="11"/>
  <c r="E29" i="11"/>
  <c r="A29" i="11"/>
  <c r="M28" i="11"/>
  <c r="I28" i="11"/>
  <c r="E28" i="11"/>
  <c r="A28" i="11"/>
  <c r="M27" i="11"/>
  <c r="I27" i="11"/>
  <c r="E27" i="11"/>
  <c r="A27" i="11"/>
  <c r="M26" i="11"/>
  <c r="I26" i="11"/>
  <c r="E26" i="11"/>
  <c r="A26" i="11"/>
  <c r="M25" i="11"/>
  <c r="I25" i="11"/>
  <c r="E25" i="11"/>
  <c r="A25" i="11"/>
  <c r="M24" i="11"/>
  <c r="I24" i="11"/>
  <c r="E24" i="11"/>
  <c r="A24" i="11"/>
  <c r="M23" i="11"/>
  <c r="I23" i="11"/>
  <c r="E23" i="11"/>
  <c r="A23" i="11"/>
  <c r="M22" i="11"/>
  <c r="I22" i="11"/>
  <c r="E22" i="11"/>
  <c r="A22" i="11"/>
  <c r="M21" i="11"/>
  <c r="I21" i="11"/>
  <c r="E21" i="11"/>
  <c r="A21" i="11"/>
  <c r="M20" i="11"/>
  <c r="I20" i="11"/>
  <c r="E20" i="11"/>
  <c r="A20" i="11"/>
  <c r="M19" i="11"/>
  <c r="I19" i="11"/>
  <c r="E19" i="11"/>
  <c r="A19" i="11"/>
  <c r="M18" i="11"/>
  <c r="I18" i="11"/>
  <c r="E18" i="11"/>
  <c r="A18" i="11"/>
  <c r="M17" i="11"/>
  <c r="I17" i="11"/>
  <c r="E17" i="11"/>
  <c r="A17" i="11"/>
  <c r="M16" i="11"/>
  <c r="I16" i="11"/>
  <c r="E16" i="11"/>
  <c r="A16" i="11"/>
  <c r="M15" i="11"/>
  <c r="I15" i="11"/>
  <c r="E15" i="11"/>
  <c r="A15" i="11"/>
  <c r="M14" i="11"/>
  <c r="I14" i="11"/>
  <c r="E14" i="11"/>
  <c r="A14" i="11"/>
  <c r="M13" i="11"/>
  <c r="I13" i="11"/>
  <c r="E13" i="11"/>
  <c r="A13" i="11"/>
  <c r="M12" i="11"/>
  <c r="I12" i="11"/>
  <c r="E12" i="11"/>
  <c r="A12" i="11"/>
  <c r="M11" i="11"/>
  <c r="I11" i="11"/>
  <c r="E11" i="11"/>
  <c r="A11" i="11"/>
  <c r="M10" i="11"/>
  <c r="I10" i="11"/>
  <c r="E10" i="11"/>
  <c r="A10" i="11"/>
  <c r="M9" i="11"/>
  <c r="I9" i="11"/>
  <c r="E9" i="11"/>
  <c r="A9" i="11"/>
  <c r="M8" i="11"/>
  <c r="I8" i="11"/>
  <c r="E8" i="11"/>
  <c r="A8" i="11"/>
  <c r="M7" i="11"/>
  <c r="I7" i="11"/>
  <c r="E7" i="11"/>
  <c r="A7" i="11"/>
  <c r="M6" i="11"/>
  <c r="I6" i="11"/>
  <c r="E6" i="11"/>
  <c r="A6" i="11"/>
  <c r="M5" i="11"/>
  <c r="I5" i="11"/>
  <c r="E5" i="11"/>
  <c r="A5" i="11"/>
  <c r="M4" i="11"/>
  <c r="I4" i="11"/>
  <c r="E4" i="11"/>
  <c r="A4" i="11"/>
  <c r="F2" i="11"/>
  <c r="D2" i="11"/>
  <c r="B2" i="11"/>
  <c r="M34" i="10"/>
  <c r="I34" i="10"/>
  <c r="E34" i="10"/>
  <c r="A34" i="10"/>
  <c r="M33" i="10"/>
  <c r="I33" i="10"/>
  <c r="E33" i="10"/>
  <c r="A33" i="10"/>
  <c r="M32" i="10"/>
  <c r="I32" i="10"/>
  <c r="E32" i="10"/>
  <c r="A32" i="10"/>
  <c r="M31" i="10"/>
  <c r="I31" i="10"/>
  <c r="E31" i="10"/>
  <c r="A31" i="10"/>
  <c r="M30" i="10"/>
  <c r="I30" i="10"/>
  <c r="E30" i="10"/>
  <c r="A30" i="10"/>
  <c r="M29" i="10"/>
  <c r="I29" i="10"/>
  <c r="E29" i="10"/>
  <c r="A29" i="10"/>
  <c r="M28" i="10"/>
  <c r="I28" i="10"/>
  <c r="E28" i="10"/>
  <c r="A28" i="10"/>
  <c r="M27" i="10"/>
  <c r="I27" i="10"/>
  <c r="E27" i="10"/>
  <c r="A27" i="10"/>
  <c r="M26" i="10"/>
  <c r="I26" i="10"/>
  <c r="E26" i="10"/>
  <c r="A26" i="10"/>
  <c r="M25" i="10"/>
  <c r="I25" i="10"/>
  <c r="E25" i="10"/>
  <c r="A25" i="10"/>
  <c r="M24" i="10"/>
  <c r="I24" i="10"/>
  <c r="E24" i="10"/>
  <c r="A24" i="10"/>
  <c r="M23" i="10"/>
  <c r="I23" i="10"/>
  <c r="E23" i="10"/>
  <c r="A23" i="10"/>
  <c r="M22" i="10"/>
  <c r="I22" i="10"/>
  <c r="E22" i="10"/>
  <c r="A22" i="10"/>
  <c r="M21" i="10"/>
  <c r="I21" i="10"/>
  <c r="E21" i="10"/>
  <c r="A21" i="10"/>
  <c r="M20" i="10"/>
  <c r="I20" i="10"/>
  <c r="E20" i="10"/>
  <c r="A20" i="10"/>
  <c r="M19" i="10"/>
  <c r="I19" i="10"/>
  <c r="E19" i="10"/>
  <c r="A19" i="10"/>
  <c r="M18" i="10"/>
  <c r="I18" i="10"/>
  <c r="E18" i="10"/>
  <c r="A18" i="10"/>
  <c r="M17" i="10"/>
  <c r="I17" i="10"/>
  <c r="E17" i="10"/>
  <c r="A17" i="10"/>
  <c r="M16" i="10"/>
  <c r="I16" i="10"/>
  <c r="E16" i="10"/>
  <c r="A16" i="10"/>
  <c r="M15" i="10"/>
  <c r="I15" i="10"/>
  <c r="E15" i="10"/>
  <c r="A15" i="10"/>
  <c r="M14" i="10"/>
  <c r="I14" i="10"/>
  <c r="E14" i="10"/>
  <c r="A14" i="10"/>
  <c r="M13" i="10"/>
  <c r="I13" i="10"/>
  <c r="E13" i="10"/>
  <c r="A13" i="10"/>
  <c r="M12" i="10"/>
  <c r="I12" i="10"/>
  <c r="E12" i="10"/>
  <c r="A12" i="10"/>
  <c r="M11" i="10"/>
  <c r="I11" i="10"/>
  <c r="E11" i="10"/>
  <c r="A11" i="10"/>
  <c r="M10" i="10"/>
  <c r="I10" i="10"/>
  <c r="E10" i="10"/>
  <c r="A10" i="10"/>
  <c r="M9" i="10"/>
  <c r="I9" i="10"/>
  <c r="E9" i="10"/>
  <c r="A9" i="10"/>
  <c r="M8" i="10"/>
  <c r="I8" i="10"/>
  <c r="E8" i="10"/>
  <c r="A8" i="10"/>
  <c r="M7" i="10"/>
  <c r="I7" i="10"/>
  <c r="E7" i="10"/>
  <c r="A7" i="10"/>
  <c r="M6" i="10"/>
  <c r="I6" i="10"/>
  <c r="E6" i="10"/>
  <c r="A6" i="10"/>
  <c r="M5" i="10"/>
  <c r="I5" i="10"/>
  <c r="E5" i="10"/>
  <c r="A5" i="10"/>
  <c r="M4" i="10"/>
  <c r="I4" i="10"/>
  <c r="E4" i="10"/>
  <c r="A4" i="10"/>
  <c r="F2" i="10"/>
  <c r="D2" i="10"/>
  <c r="B2" i="10"/>
  <c r="M34" i="9"/>
  <c r="I34" i="9"/>
  <c r="E34" i="9"/>
  <c r="A34" i="9"/>
  <c r="M33" i="9"/>
  <c r="I33" i="9"/>
  <c r="E33" i="9"/>
  <c r="A33" i="9"/>
  <c r="M32" i="9"/>
  <c r="I32" i="9"/>
  <c r="E32" i="9"/>
  <c r="A32" i="9"/>
  <c r="M31" i="9"/>
  <c r="I31" i="9"/>
  <c r="E31" i="9"/>
  <c r="A31" i="9"/>
  <c r="M30" i="9"/>
  <c r="I30" i="9"/>
  <c r="E30" i="9"/>
  <c r="A30" i="9"/>
  <c r="M29" i="9"/>
  <c r="I29" i="9"/>
  <c r="E29" i="9"/>
  <c r="A29" i="9"/>
  <c r="M28" i="9"/>
  <c r="I28" i="9"/>
  <c r="E28" i="9"/>
  <c r="A28" i="9"/>
  <c r="M27" i="9"/>
  <c r="I27" i="9"/>
  <c r="E27" i="9"/>
  <c r="A27" i="9"/>
  <c r="M26" i="9"/>
  <c r="I26" i="9"/>
  <c r="E26" i="9"/>
  <c r="A26" i="9"/>
  <c r="M25" i="9"/>
  <c r="I25" i="9"/>
  <c r="E25" i="9"/>
  <c r="A25" i="9"/>
  <c r="M24" i="9"/>
  <c r="I24" i="9"/>
  <c r="E24" i="9"/>
  <c r="A24" i="9"/>
  <c r="M23" i="9"/>
  <c r="I23" i="9"/>
  <c r="E23" i="9"/>
  <c r="A23" i="9"/>
  <c r="M22" i="9"/>
  <c r="I22" i="9"/>
  <c r="E22" i="9"/>
  <c r="A22" i="9"/>
  <c r="M21" i="9"/>
  <c r="I21" i="9"/>
  <c r="E21" i="9"/>
  <c r="A21" i="9"/>
  <c r="M20" i="9"/>
  <c r="I20" i="9"/>
  <c r="E20" i="9"/>
  <c r="A20" i="9"/>
  <c r="M19" i="9"/>
  <c r="I19" i="9"/>
  <c r="E19" i="9"/>
  <c r="A19" i="9"/>
  <c r="M18" i="9"/>
  <c r="I18" i="9"/>
  <c r="E18" i="9"/>
  <c r="A18" i="9"/>
  <c r="M17" i="9"/>
  <c r="I17" i="9"/>
  <c r="E17" i="9"/>
  <c r="A17" i="9"/>
  <c r="M16" i="9"/>
  <c r="I16" i="9"/>
  <c r="E16" i="9"/>
  <c r="A16" i="9"/>
  <c r="M15" i="9"/>
  <c r="I15" i="9"/>
  <c r="E15" i="9"/>
  <c r="A15" i="9"/>
  <c r="M14" i="9"/>
  <c r="I14" i="9"/>
  <c r="E14" i="9"/>
  <c r="A14" i="9"/>
  <c r="M13" i="9"/>
  <c r="I13" i="9"/>
  <c r="E13" i="9"/>
  <c r="A13" i="9"/>
  <c r="M12" i="9"/>
  <c r="I12" i="9"/>
  <c r="E12" i="9"/>
  <c r="A12" i="9"/>
  <c r="M11" i="9"/>
  <c r="I11" i="9"/>
  <c r="E11" i="9"/>
  <c r="A11" i="9"/>
  <c r="M10" i="9"/>
  <c r="I10" i="9"/>
  <c r="E10" i="9"/>
  <c r="A10" i="9"/>
  <c r="M9" i="9"/>
  <c r="I9" i="9"/>
  <c r="E9" i="9"/>
  <c r="A9" i="9"/>
  <c r="M8" i="9"/>
  <c r="I8" i="9"/>
  <c r="E8" i="9"/>
  <c r="A8" i="9"/>
  <c r="M7" i="9"/>
  <c r="I7" i="9"/>
  <c r="E7" i="9"/>
  <c r="A7" i="9"/>
  <c r="M6" i="9"/>
  <c r="I6" i="9"/>
  <c r="E6" i="9"/>
  <c r="A6" i="9"/>
  <c r="M5" i="9"/>
  <c r="I5" i="9"/>
  <c r="E5" i="9"/>
  <c r="A5" i="9"/>
  <c r="M4" i="9"/>
  <c r="I4" i="9"/>
  <c r="E4" i="9"/>
  <c r="A4" i="9"/>
  <c r="F2" i="9"/>
  <c r="D2" i="9"/>
  <c r="B2" i="9"/>
  <c r="M34" i="8"/>
  <c r="I34" i="8"/>
  <c r="E34" i="8"/>
  <c r="A34" i="8"/>
  <c r="M33" i="8"/>
  <c r="I33" i="8"/>
  <c r="E33" i="8"/>
  <c r="A33" i="8"/>
  <c r="M32" i="8"/>
  <c r="I32" i="8"/>
  <c r="E32" i="8"/>
  <c r="A32" i="8"/>
  <c r="M31" i="8"/>
  <c r="I31" i="8"/>
  <c r="E31" i="8"/>
  <c r="A31" i="8"/>
  <c r="M30" i="8"/>
  <c r="I30" i="8"/>
  <c r="E30" i="8"/>
  <c r="A30" i="8"/>
  <c r="M29" i="8"/>
  <c r="I29" i="8"/>
  <c r="E29" i="8"/>
  <c r="A29" i="8"/>
  <c r="M28" i="8"/>
  <c r="I28" i="8"/>
  <c r="E28" i="8"/>
  <c r="A28" i="8"/>
  <c r="M27" i="8"/>
  <c r="I27" i="8"/>
  <c r="E27" i="8"/>
  <c r="A27" i="8"/>
  <c r="M26" i="8"/>
  <c r="I26" i="8"/>
  <c r="E26" i="8"/>
  <c r="A26" i="8"/>
  <c r="M25" i="8"/>
  <c r="I25" i="8"/>
  <c r="E25" i="8"/>
  <c r="A25" i="8"/>
  <c r="M24" i="8"/>
  <c r="I24" i="8"/>
  <c r="E24" i="8"/>
  <c r="A24" i="8"/>
  <c r="M23" i="8"/>
  <c r="I23" i="8"/>
  <c r="E23" i="8"/>
  <c r="A23" i="8"/>
  <c r="M22" i="8"/>
  <c r="I22" i="8"/>
  <c r="E22" i="8"/>
  <c r="A22" i="8"/>
  <c r="M21" i="8"/>
  <c r="I21" i="8"/>
  <c r="E21" i="8"/>
  <c r="A21" i="8"/>
  <c r="M20" i="8"/>
  <c r="I20" i="8"/>
  <c r="E20" i="8"/>
  <c r="A20" i="8"/>
  <c r="M19" i="8"/>
  <c r="I19" i="8"/>
  <c r="E19" i="8"/>
  <c r="A19" i="8"/>
  <c r="M18" i="8"/>
  <c r="I18" i="8"/>
  <c r="E18" i="8"/>
  <c r="A18" i="8"/>
  <c r="M17" i="8"/>
  <c r="I17" i="8"/>
  <c r="E17" i="8"/>
  <c r="A17" i="8"/>
  <c r="M16" i="8"/>
  <c r="I16" i="8"/>
  <c r="E16" i="8"/>
  <c r="A16" i="8"/>
  <c r="M15" i="8"/>
  <c r="I15" i="8"/>
  <c r="E15" i="8"/>
  <c r="A15" i="8"/>
  <c r="M14" i="8"/>
  <c r="I14" i="8"/>
  <c r="E14" i="8"/>
  <c r="A14" i="8"/>
  <c r="M13" i="8"/>
  <c r="I13" i="8"/>
  <c r="E13" i="8"/>
  <c r="A13" i="8"/>
  <c r="M12" i="8"/>
  <c r="I12" i="8"/>
  <c r="E12" i="8"/>
  <c r="A12" i="8"/>
  <c r="M11" i="8"/>
  <c r="I11" i="8"/>
  <c r="E11" i="8"/>
  <c r="A11" i="8"/>
  <c r="M10" i="8"/>
  <c r="I10" i="8"/>
  <c r="E10" i="8"/>
  <c r="A10" i="8"/>
  <c r="M9" i="8"/>
  <c r="I9" i="8"/>
  <c r="E9" i="8"/>
  <c r="A9" i="8"/>
  <c r="M8" i="8"/>
  <c r="I8" i="8"/>
  <c r="E8" i="8"/>
  <c r="A8" i="8"/>
  <c r="M7" i="8"/>
  <c r="I7" i="8"/>
  <c r="E7" i="8"/>
  <c r="A7" i="8"/>
  <c r="M6" i="8"/>
  <c r="I6" i="8"/>
  <c r="E6" i="8"/>
  <c r="A6" i="8"/>
  <c r="M5" i="8"/>
  <c r="I5" i="8"/>
  <c r="E5" i="8"/>
  <c r="A5" i="8"/>
  <c r="M4" i="8"/>
  <c r="I4" i="8"/>
  <c r="E4" i="8"/>
  <c r="A4" i="8"/>
  <c r="F2" i="8"/>
  <c r="D2" i="8"/>
  <c r="B2" i="8"/>
  <c r="M34" i="7"/>
  <c r="I34" i="7"/>
  <c r="E34" i="7"/>
  <c r="A34" i="7"/>
  <c r="M33" i="7"/>
  <c r="I33" i="7"/>
  <c r="E33" i="7"/>
  <c r="A33" i="7"/>
  <c r="M32" i="7"/>
  <c r="I32" i="7"/>
  <c r="E32" i="7"/>
  <c r="A32" i="7"/>
  <c r="M31" i="7"/>
  <c r="I31" i="7"/>
  <c r="E31" i="7"/>
  <c r="A31" i="7"/>
  <c r="M30" i="7"/>
  <c r="I30" i="7"/>
  <c r="E30" i="7"/>
  <c r="A30" i="7"/>
  <c r="M29" i="7"/>
  <c r="I29" i="7"/>
  <c r="E29" i="7"/>
  <c r="A29" i="7"/>
  <c r="M28" i="7"/>
  <c r="I28" i="7"/>
  <c r="E28" i="7"/>
  <c r="A28" i="7"/>
  <c r="M27" i="7"/>
  <c r="I27" i="7"/>
  <c r="E27" i="7"/>
  <c r="A27" i="7"/>
  <c r="M26" i="7"/>
  <c r="I26" i="7"/>
  <c r="E26" i="7"/>
  <c r="A26" i="7"/>
  <c r="M25" i="7"/>
  <c r="I25" i="7"/>
  <c r="E25" i="7"/>
  <c r="A25" i="7"/>
  <c r="M24" i="7"/>
  <c r="I24" i="7"/>
  <c r="E24" i="7"/>
  <c r="A24" i="7"/>
  <c r="M23" i="7"/>
  <c r="I23" i="7"/>
  <c r="E23" i="7"/>
  <c r="A23" i="7"/>
  <c r="M22" i="7"/>
  <c r="I22" i="7"/>
  <c r="E22" i="7"/>
  <c r="A22" i="7"/>
  <c r="M21" i="7"/>
  <c r="I21" i="7"/>
  <c r="E21" i="7"/>
  <c r="A21" i="7"/>
  <c r="M20" i="7"/>
  <c r="I20" i="7"/>
  <c r="E20" i="7"/>
  <c r="A20" i="7"/>
  <c r="M19" i="7"/>
  <c r="I19" i="7"/>
  <c r="E19" i="7"/>
  <c r="A19" i="7"/>
  <c r="M18" i="7"/>
  <c r="I18" i="7"/>
  <c r="E18" i="7"/>
  <c r="A18" i="7"/>
  <c r="M17" i="7"/>
  <c r="I17" i="7"/>
  <c r="E17" i="7"/>
  <c r="A17" i="7"/>
  <c r="M16" i="7"/>
  <c r="I16" i="7"/>
  <c r="E16" i="7"/>
  <c r="A16" i="7"/>
  <c r="M15" i="7"/>
  <c r="I15" i="7"/>
  <c r="E15" i="7"/>
  <c r="A15" i="7"/>
  <c r="M14" i="7"/>
  <c r="I14" i="7"/>
  <c r="E14" i="7"/>
  <c r="A14" i="7"/>
  <c r="M13" i="7"/>
  <c r="I13" i="7"/>
  <c r="E13" i="7"/>
  <c r="A13" i="7"/>
  <c r="M12" i="7"/>
  <c r="I12" i="7"/>
  <c r="E12" i="7"/>
  <c r="A12" i="7"/>
  <c r="M11" i="7"/>
  <c r="I11" i="7"/>
  <c r="E11" i="7"/>
  <c r="A11" i="7"/>
  <c r="M10" i="7"/>
  <c r="I10" i="7"/>
  <c r="E10" i="7"/>
  <c r="A10" i="7"/>
  <c r="M9" i="7"/>
  <c r="I9" i="7"/>
  <c r="E9" i="7"/>
  <c r="A9" i="7"/>
  <c r="M8" i="7"/>
  <c r="I8" i="7"/>
  <c r="E8" i="7"/>
  <c r="A8" i="7"/>
  <c r="M7" i="7"/>
  <c r="I7" i="7"/>
  <c r="E7" i="7"/>
  <c r="A7" i="7"/>
  <c r="M6" i="7"/>
  <c r="I6" i="7"/>
  <c r="E6" i="7"/>
  <c r="A6" i="7"/>
  <c r="M5" i="7"/>
  <c r="I5" i="7"/>
  <c r="E5" i="7"/>
  <c r="A5" i="7"/>
  <c r="M4" i="7"/>
  <c r="I4" i="7"/>
  <c r="E4" i="7"/>
  <c r="A4" i="7"/>
  <c r="F2" i="7"/>
  <c r="D2" i="7"/>
  <c r="B2" i="7"/>
  <c r="M34" i="6"/>
  <c r="I34" i="6"/>
  <c r="E34" i="6"/>
  <c r="A34" i="6"/>
  <c r="M33" i="6"/>
  <c r="I33" i="6"/>
  <c r="E33" i="6"/>
  <c r="A33" i="6"/>
  <c r="M32" i="6"/>
  <c r="I32" i="6"/>
  <c r="E32" i="6"/>
  <c r="A32" i="6"/>
  <c r="M31" i="6"/>
  <c r="I31" i="6"/>
  <c r="E31" i="6"/>
  <c r="A31" i="6"/>
  <c r="M30" i="6"/>
  <c r="I30" i="6"/>
  <c r="E30" i="6"/>
  <c r="A30" i="6"/>
  <c r="M29" i="6"/>
  <c r="I29" i="6"/>
  <c r="E29" i="6"/>
  <c r="A29" i="6"/>
  <c r="M28" i="6"/>
  <c r="I28" i="6"/>
  <c r="E28" i="6"/>
  <c r="A28" i="6"/>
  <c r="M27" i="6"/>
  <c r="I27" i="6"/>
  <c r="E27" i="6"/>
  <c r="A27" i="6"/>
  <c r="M26" i="6"/>
  <c r="I26" i="6"/>
  <c r="E26" i="6"/>
  <c r="A26" i="6"/>
  <c r="M25" i="6"/>
  <c r="I25" i="6"/>
  <c r="E25" i="6"/>
  <c r="A25" i="6"/>
  <c r="M24" i="6"/>
  <c r="I24" i="6"/>
  <c r="E24" i="6"/>
  <c r="A24" i="6"/>
  <c r="M23" i="6"/>
  <c r="I23" i="6"/>
  <c r="E23" i="6"/>
  <c r="A23" i="6"/>
  <c r="M22" i="6"/>
  <c r="I22" i="6"/>
  <c r="E22" i="6"/>
  <c r="A22" i="6"/>
  <c r="M21" i="6"/>
  <c r="I21" i="6"/>
  <c r="E21" i="6"/>
  <c r="A21" i="6"/>
  <c r="M20" i="6"/>
  <c r="I20" i="6"/>
  <c r="E20" i="6"/>
  <c r="A20" i="6"/>
  <c r="M19" i="6"/>
  <c r="I19" i="6"/>
  <c r="E19" i="6"/>
  <c r="A19" i="6"/>
  <c r="M18" i="6"/>
  <c r="I18" i="6"/>
  <c r="E18" i="6"/>
  <c r="A18" i="6"/>
  <c r="M17" i="6"/>
  <c r="I17" i="6"/>
  <c r="E17" i="6"/>
  <c r="A17" i="6"/>
  <c r="M16" i="6"/>
  <c r="I16" i="6"/>
  <c r="E16" i="6"/>
  <c r="A16" i="6"/>
  <c r="M15" i="6"/>
  <c r="I15" i="6"/>
  <c r="E15" i="6"/>
  <c r="A15" i="6"/>
  <c r="M14" i="6"/>
  <c r="I14" i="6"/>
  <c r="E14" i="6"/>
  <c r="A14" i="6"/>
  <c r="M13" i="6"/>
  <c r="I13" i="6"/>
  <c r="E13" i="6"/>
  <c r="A13" i="6"/>
  <c r="M12" i="6"/>
  <c r="I12" i="6"/>
  <c r="E12" i="6"/>
  <c r="A12" i="6"/>
  <c r="M11" i="6"/>
  <c r="I11" i="6"/>
  <c r="E11" i="6"/>
  <c r="A11" i="6"/>
  <c r="M10" i="6"/>
  <c r="I10" i="6"/>
  <c r="E10" i="6"/>
  <c r="A10" i="6"/>
  <c r="M9" i="6"/>
  <c r="I9" i="6"/>
  <c r="E9" i="6"/>
  <c r="A9" i="6"/>
  <c r="M8" i="6"/>
  <c r="I8" i="6"/>
  <c r="E8" i="6"/>
  <c r="A8" i="6"/>
  <c r="M7" i="6"/>
  <c r="I7" i="6"/>
  <c r="E7" i="6"/>
  <c r="A7" i="6"/>
  <c r="M6" i="6"/>
  <c r="I6" i="6"/>
  <c r="E6" i="6"/>
  <c r="A6" i="6"/>
  <c r="M5" i="6"/>
  <c r="I5" i="6"/>
  <c r="E5" i="6"/>
  <c r="A5" i="6"/>
  <c r="M4" i="6"/>
  <c r="I4" i="6"/>
  <c r="E4" i="6"/>
  <c r="A4" i="6"/>
  <c r="F2" i="6"/>
  <c r="D2" i="6"/>
  <c r="B2" i="6"/>
  <c r="M34" i="5"/>
  <c r="I34" i="5"/>
  <c r="E34" i="5"/>
  <c r="A34" i="5"/>
  <c r="M33" i="5"/>
  <c r="I33" i="5"/>
  <c r="E33" i="5"/>
  <c r="A33" i="5"/>
  <c r="M32" i="5"/>
  <c r="I32" i="5"/>
  <c r="E32" i="5"/>
  <c r="A32" i="5"/>
  <c r="M31" i="5"/>
  <c r="I31" i="5"/>
  <c r="E31" i="5"/>
  <c r="A31" i="5"/>
  <c r="M30" i="5"/>
  <c r="I30" i="5"/>
  <c r="E30" i="5"/>
  <c r="A30" i="5"/>
  <c r="M29" i="5"/>
  <c r="I29" i="5"/>
  <c r="E29" i="5"/>
  <c r="A29" i="5"/>
  <c r="M28" i="5"/>
  <c r="I28" i="5"/>
  <c r="E28" i="5"/>
  <c r="A28" i="5"/>
  <c r="M27" i="5"/>
  <c r="I27" i="5"/>
  <c r="E27" i="5"/>
  <c r="A27" i="5"/>
  <c r="M26" i="5"/>
  <c r="I26" i="5"/>
  <c r="E26" i="5"/>
  <c r="A26" i="5"/>
  <c r="M25" i="5"/>
  <c r="I25" i="5"/>
  <c r="E25" i="5"/>
  <c r="A25" i="5"/>
  <c r="M24" i="5"/>
  <c r="I24" i="5"/>
  <c r="E24" i="5"/>
  <c r="A24" i="5"/>
  <c r="M23" i="5"/>
  <c r="I23" i="5"/>
  <c r="E23" i="5"/>
  <c r="A23" i="5"/>
  <c r="M22" i="5"/>
  <c r="I22" i="5"/>
  <c r="E22" i="5"/>
  <c r="A22" i="5"/>
  <c r="M21" i="5"/>
  <c r="I21" i="5"/>
  <c r="E21" i="5"/>
  <c r="A21" i="5"/>
  <c r="M20" i="5"/>
  <c r="I20" i="5"/>
  <c r="E20" i="5"/>
  <c r="A20" i="5"/>
  <c r="M19" i="5"/>
  <c r="I19" i="5"/>
  <c r="E19" i="5"/>
  <c r="A19" i="5"/>
  <c r="M18" i="5"/>
  <c r="I18" i="5"/>
  <c r="E18" i="5"/>
  <c r="A18" i="5"/>
  <c r="M17" i="5"/>
  <c r="I17" i="5"/>
  <c r="E17" i="5"/>
  <c r="A17" i="5"/>
  <c r="M16" i="5"/>
  <c r="I16" i="5"/>
  <c r="E16" i="5"/>
  <c r="A16" i="5"/>
  <c r="M15" i="5"/>
  <c r="I15" i="5"/>
  <c r="E15" i="5"/>
  <c r="A15" i="5"/>
  <c r="M14" i="5"/>
  <c r="I14" i="5"/>
  <c r="E14" i="5"/>
  <c r="A14" i="5"/>
  <c r="M13" i="5"/>
  <c r="I13" i="5"/>
  <c r="E13" i="5"/>
  <c r="A13" i="5"/>
  <c r="M12" i="5"/>
  <c r="I12" i="5"/>
  <c r="E12" i="5"/>
  <c r="A12" i="5"/>
  <c r="M11" i="5"/>
  <c r="I11" i="5"/>
  <c r="E11" i="5"/>
  <c r="A11" i="5"/>
  <c r="M10" i="5"/>
  <c r="I10" i="5"/>
  <c r="E10" i="5"/>
  <c r="A10" i="5"/>
  <c r="M9" i="5"/>
  <c r="I9" i="5"/>
  <c r="E9" i="5"/>
  <c r="A9" i="5"/>
  <c r="M8" i="5"/>
  <c r="I8" i="5"/>
  <c r="E8" i="5"/>
  <c r="A8" i="5"/>
  <c r="M7" i="5"/>
  <c r="I7" i="5"/>
  <c r="E7" i="5"/>
  <c r="A7" i="5"/>
  <c r="M6" i="5"/>
  <c r="I6" i="5"/>
  <c r="E6" i="5"/>
  <c r="A6" i="5"/>
  <c r="M5" i="5"/>
  <c r="I5" i="5"/>
  <c r="E5" i="5"/>
  <c r="A5" i="5"/>
  <c r="M4" i="5"/>
  <c r="I4" i="5"/>
  <c r="E4" i="5"/>
  <c r="A4" i="5"/>
  <c r="F2" i="5"/>
  <c r="D2" i="5"/>
  <c r="B2" i="5"/>
  <c r="M34" i="4"/>
  <c r="I34" i="4"/>
  <c r="E34" i="4"/>
  <c r="A34" i="4"/>
  <c r="M33" i="4"/>
  <c r="I33" i="4"/>
  <c r="E33" i="4"/>
  <c r="A33" i="4"/>
  <c r="M32" i="4"/>
  <c r="I32" i="4"/>
  <c r="E32" i="4"/>
  <c r="A32" i="4"/>
  <c r="M31" i="4"/>
  <c r="I31" i="4"/>
  <c r="E31" i="4"/>
  <c r="A31" i="4"/>
  <c r="M30" i="4"/>
  <c r="I30" i="4"/>
  <c r="E30" i="4"/>
  <c r="A30" i="4"/>
  <c r="M29" i="4"/>
  <c r="I29" i="4"/>
  <c r="E29" i="4"/>
  <c r="A29" i="4"/>
  <c r="M28" i="4"/>
  <c r="I28" i="4"/>
  <c r="E28" i="4"/>
  <c r="A28" i="4"/>
  <c r="M27" i="4"/>
  <c r="I27" i="4"/>
  <c r="E27" i="4"/>
  <c r="A27" i="4"/>
  <c r="M26" i="4"/>
  <c r="I26" i="4"/>
  <c r="E26" i="4"/>
  <c r="A26" i="4"/>
  <c r="M25" i="4"/>
  <c r="I25" i="4"/>
  <c r="E25" i="4"/>
  <c r="A25" i="4"/>
  <c r="M24" i="4"/>
  <c r="I24" i="4"/>
  <c r="E24" i="4"/>
  <c r="A24" i="4"/>
  <c r="M23" i="4"/>
  <c r="I23" i="4"/>
  <c r="E23" i="4"/>
  <c r="A23" i="4"/>
  <c r="M22" i="4"/>
  <c r="I22" i="4"/>
  <c r="E22" i="4"/>
  <c r="A22" i="4"/>
  <c r="M21" i="4"/>
  <c r="I21" i="4"/>
  <c r="E21" i="4"/>
  <c r="A21" i="4"/>
  <c r="M20" i="4"/>
  <c r="I20" i="4"/>
  <c r="E20" i="4"/>
  <c r="A20" i="4"/>
  <c r="M19" i="4"/>
  <c r="I19" i="4"/>
  <c r="E19" i="4"/>
  <c r="A19" i="4"/>
  <c r="M18" i="4"/>
  <c r="I18" i="4"/>
  <c r="E18" i="4"/>
  <c r="A18" i="4"/>
  <c r="M17" i="4"/>
  <c r="I17" i="4"/>
  <c r="E17" i="4"/>
  <c r="A17" i="4"/>
  <c r="M16" i="4"/>
  <c r="I16" i="4"/>
  <c r="E16" i="4"/>
  <c r="A16" i="4"/>
  <c r="M15" i="4"/>
  <c r="I15" i="4"/>
  <c r="E15" i="4"/>
  <c r="A15" i="4"/>
  <c r="M14" i="4"/>
  <c r="I14" i="4"/>
  <c r="E14" i="4"/>
  <c r="A14" i="4"/>
  <c r="M13" i="4"/>
  <c r="I13" i="4"/>
  <c r="E13" i="4"/>
  <c r="A13" i="4"/>
  <c r="M12" i="4"/>
  <c r="I12" i="4"/>
  <c r="E12" i="4"/>
  <c r="A12" i="4"/>
  <c r="M11" i="4"/>
  <c r="I11" i="4"/>
  <c r="E11" i="4"/>
  <c r="A11" i="4"/>
  <c r="M10" i="4"/>
  <c r="I10" i="4"/>
  <c r="E10" i="4"/>
  <c r="A10" i="4"/>
  <c r="M9" i="4"/>
  <c r="I9" i="4"/>
  <c r="E9" i="4"/>
  <c r="A9" i="4"/>
  <c r="M8" i="4"/>
  <c r="I8" i="4"/>
  <c r="E8" i="4"/>
  <c r="A8" i="4"/>
  <c r="M7" i="4"/>
  <c r="I7" i="4"/>
  <c r="E7" i="4"/>
  <c r="A7" i="4"/>
  <c r="M6" i="4"/>
  <c r="I6" i="4"/>
  <c r="E6" i="4"/>
  <c r="A6" i="4"/>
  <c r="M5" i="4"/>
  <c r="I5" i="4"/>
  <c r="E5" i="4"/>
  <c r="A5" i="4"/>
  <c r="M4" i="4"/>
  <c r="I4" i="4"/>
  <c r="E4" i="4"/>
  <c r="A4" i="4"/>
  <c r="F2" i="4"/>
  <c r="D2" i="4"/>
  <c r="B2" i="4"/>
  <c r="M34" i="3"/>
  <c r="I34" i="3"/>
  <c r="E34" i="3"/>
  <c r="A34" i="3"/>
  <c r="M33" i="3"/>
  <c r="I33" i="3"/>
  <c r="E33" i="3"/>
  <c r="A33" i="3"/>
  <c r="M32" i="3"/>
  <c r="I32" i="3"/>
  <c r="E32" i="3"/>
  <c r="A32" i="3"/>
  <c r="M31" i="3"/>
  <c r="I31" i="3"/>
  <c r="E31" i="3"/>
  <c r="A31" i="3"/>
  <c r="M30" i="3"/>
  <c r="I30" i="3"/>
  <c r="E30" i="3"/>
  <c r="A30" i="3"/>
  <c r="M29" i="3"/>
  <c r="I29" i="3"/>
  <c r="E29" i="3"/>
  <c r="A29" i="3"/>
  <c r="M28" i="3"/>
  <c r="I28" i="3"/>
  <c r="E28" i="3"/>
  <c r="A28" i="3"/>
  <c r="M27" i="3"/>
  <c r="I27" i="3"/>
  <c r="E27" i="3"/>
  <c r="A27" i="3"/>
  <c r="M26" i="3"/>
  <c r="I26" i="3"/>
  <c r="E26" i="3"/>
  <c r="A26" i="3"/>
  <c r="M25" i="3"/>
  <c r="I25" i="3"/>
  <c r="E25" i="3"/>
  <c r="A25" i="3"/>
  <c r="M24" i="3"/>
  <c r="I24" i="3"/>
  <c r="E24" i="3"/>
  <c r="A24" i="3"/>
  <c r="M23" i="3"/>
  <c r="I23" i="3"/>
  <c r="E23" i="3"/>
  <c r="A23" i="3"/>
  <c r="M22" i="3"/>
  <c r="I22" i="3"/>
  <c r="E22" i="3"/>
  <c r="A22" i="3"/>
  <c r="M21" i="3"/>
  <c r="I21" i="3"/>
  <c r="E21" i="3"/>
  <c r="A21" i="3"/>
  <c r="M20" i="3"/>
  <c r="I20" i="3"/>
  <c r="E20" i="3"/>
  <c r="A20" i="3"/>
  <c r="M19" i="3"/>
  <c r="I19" i="3"/>
  <c r="E19" i="3"/>
  <c r="A19" i="3"/>
  <c r="M18" i="3"/>
  <c r="I18" i="3"/>
  <c r="E18" i="3"/>
  <c r="A18" i="3"/>
  <c r="M17" i="3"/>
  <c r="I17" i="3"/>
  <c r="E17" i="3"/>
  <c r="A17" i="3"/>
  <c r="M16" i="3"/>
  <c r="I16" i="3"/>
  <c r="E16" i="3"/>
  <c r="A16" i="3"/>
  <c r="M15" i="3"/>
  <c r="I15" i="3"/>
  <c r="E15" i="3"/>
  <c r="A15" i="3"/>
  <c r="M14" i="3"/>
  <c r="I14" i="3"/>
  <c r="E14" i="3"/>
  <c r="A14" i="3"/>
  <c r="M13" i="3"/>
  <c r="I13" i="3"/>
  <c r="E13" i="3"/>
  <c r="A13" i="3"/>
  <c r="M12" i="3"/>
  <c r="I12" i="3"/>
  <c r="E12" i="3"/>
  <c r="A12" i="3"/>
  <c r="M11" i="3"/>
  <c r="I11" i="3"/>
  <c r="E11" i="3"/>
  <c r="A11" i="3"/>
  <c r="M10" i="3"/>
  <c r="I10" i="3"/>
  <c r="E10" i="3"/>
  <c r="A10" i="3"/>
  <c r="M9" i="3"/>
  <c r="I9" i="3"/>
  <c r="E9" i="3"/>
  <c r="A9" i="3"/>
  <c r="M8" i="3"/>
  <c r="I8" i="3"/>
  <c r="E8" i="3"/>
  <c r="A8" i="3"/>
  <c r="M7" i="3"/>
  <c r="I7" i="3"/>
  <c r="E7" i="3"/>
  <c r="A7" i="3"/>
  <c r="M6" i="3"/>
  <c r="I6" i="3"/>
  <c r="E6" i="3"/>
  <c r="A6" i="3"/>
  <c r="M5" i="3"/>
  <c r="I5" i="3"/>
  <c r="E5" i="3"/>
  <c r="A5" i="3"/>
  <c r="M4" i="3"/>
  <c r="I4" i="3"/>
  <c r="E4" i="3"/>
  <c r="A4" i="3"/>
  <c r="F2" i="3"/>
  <c r="D2" i="3"/>
  <c r="B2" i="3"/>
  <c r="M19" i="2"/>
  <c r="L19" i="2"/>
  <c r="K19" i="2"/>
  <c r="J19" i="2"/>
  <c r="I19" i="2"/>
  <c r="H19" i="2"/>
  <c r="G19" i="2"/>
  <c r="F19" i="2"/>
  <c r="E19" i="2"/>
  <c r="D19" i="2"/>
  <c r="C19" i="2"/>
  <c r="B19" i="2"/>
  <c r="M18" i="2"/>
  <c r="L18" i="2"/>
  <c r="K18" i="2"/>
  <c r="J18" i="2"/>
  <c r="I18" i="2"/>
  <c r="H18" i="2"/>
  <c r="G18" i="2"/>
  <c r="F18" i="2"/>
  <c r="E18" i="2"/>
  <c r="D18" i="2"/>
  <c r="C18" i="2"/>
  <c r="B18" i="2"/>
  <c r="M17" i="2"/>
  <c r="L17" i="2"/>
  <c r="K17" i="2"/>
  <c r="J17" i="2"/>
  <c r="I17" i="2"/>
  <c r="H17" i="2"/>
  <c r="G17" i="2"/>
  <c r="F17" i="2"/>
  <c r="E17" i="2"/>
  <c r="D17" i="2"/>
  <c r="C17" i="2"/>
  <c r="B17" i="2"/>
  <c r="M16" i="2"/>
  <c r="L16" i="2"/>
  <c r="K16" i="2"/>
  <c r="J16" i="2"/>
  <c r="I16" i="2"/>
  <c r="H16" i="2"/>
  <c r="G16" i="2"/>
  <c r="F16" i="2"/>
  <c r="E16" i="2"/>
  <c r="D16" i="2"/>
  <c r="C16" i="2"/>
  <c r="B16" i="2"/>
  <c r="M15" i="2"/>
  <c r="L15" i="2"/>
  <c r="K15" i="2"/>
  <c r="J15" i="2"/>
  <c r="I15" i="2"/>
  <c r="H15" i="2"/>
  <c r="G15" i="2"/>
  <c r="F15" i="2"/>
  <c r="E15" i="2"/>
  <c r="D15" i="2"/>
  <c r="C15" i="2"/>
  <c r="B15" i="2"/>
  <c r="M14" i="2"/>
  <c r="L14" i="2"/>
  <c r="K14" i="2"/>
  <c r="J14" i="2"/>
  <c r="I14" i="2"/>
  <c r="H14" i="2"/>
  <c r="G14" i="2"/>
  <c r="F14" i="2"/>
  <c r="E14" i="2"/>
  <c r="D14" i="2"/>
  <c r="C14" i="2"/>
  <c r="B14" i="2"/>
  <c r="M13" i="2"/>
  <c r="L13" i="2"/>
  <c r="K13" i="2"/>
  <c r="J13" i="2"/>
  <c r="I13" i="2"/>
  <c r="H13" i="2"/>
  <c r="G13" i="2"/>
  <c r="F13" i="2"/>
  <c r="E13" i="2"/>
  <c r="D13" i="2"/>
  <c r="C13" i="2"/>
  <c r="B13" i="2"/>
  <c r="M12" i="2"/>
  <c r="L12" i="2"/>
  <c r="K12" i="2"/>
  <c r="J12" i="2"/>
  <c r="I12" i="2"/>
  <c r="H12" i="2"/>
  <c r="G12" i="2"/>
  <c r="F12" i="2"/>
  <c r="E12" i="2"/>
  <c r="D12" i="2"/>
  <c r="C12" i="2"/>
  <c r="B12" i="2"/>
  <c r="M11" i="2"/>
  <c r="L11" i="2"/>
  <c r="K11" i="2"/>
  <c r="J11" i="2"/>
  <c r="I11" i="2"/>
  <c r="H11" i="2"/>
  <c r="G11" i="2"/>
  <c r="F11" i="2"/>
  <c r="E11" i="2"/>
  <c r="D11" i="2"/>
  <c r="C11" i="2"/>
  <c r="B11" i="2"/>
  <c r="M10" i="2"/>
  <c r="L10" i="2"/>
  <c r="K10" i="2"/>
  <c r="J10" i="2"/>
  <c r="I10" i="2"/>
  <c r="H10" i="2"/>
  <c r="G10" i="2"/>
  <c r="F10" i="2"/>
  <c r="E10" i="2"/>
  <c r="D10" i="2"/>
  <c r="C10" i="2"/>
  <c r="B10" i="2"/>
  <c r="M9" i="2"/>
  <c r="L9" i="2"/>
  <c r="K9" i="2"/>
  <c r="J9" i="2"/>
  <c r="I9" i="2"/>
  <c r="H9" i="2"/>
  <c r="G9" i="2"/>
  <c r="F9" i="2"/>
  <c r="E9" i="2"/>
  <c r="D9" i="2"/>
  <c r="C9" i="2"/>
  <c r="B9" i="2"/>
  <c r="M8" i="2"/>
  <c r="L8" i="2"/>
  <c r="K8" i="2"/>
  <c r="J8" i="2"/>
  <c r="I8" i="2"/>
  <c r="H8" i="2"/>
  <c r="G8" i="2"/>
  <c r="F8" i="2"/>
  <c r="E8" i="2"/>
  <c r="D8" i="2"/>
  <c r="C8" i="2"/>
  <c r="B8" i="2"/>
</calcChain>
</file>

<file path=xl/sharedStrings.xml><?xml version="1.0" encoding="utf-8"?>
<sst xmlns="http://schemas.openxmlformats.org/spreadsheetml/2006/main" count="248" uniqueCount="71">
  <si>
    <t>Kategorie</t>
  </si>
  <si>
    <t>Systolisch (mmHg)</t>
  </si>
  <si>
    <t>Diastolisch (mmHg)</t>
  </si>
  <si>
    <t>Zu niedrig</t>
  </si>
  <si>
    <t>&lt; 90</t>
  </si>
  <si>
    <t>&lt; 60</t>
  </si>
  <si>
    <t>Optimal</t>
  </si>
  <si>
    <t>&lt; 120</t>
  </si>
  <si>
    <t>&lt; 80</t>
  </si>
  <si>
    <t>Normal</t>
  </si>
  <si>
    <t>120–129</t>
  </si>
  <si>
    <t>80–84</t>
  </si>
  <si>
    <t>Hoch-normal</t>
  </si>
  <si>
    <t>130–139</t>
  </si>
  <si>
    <t>85–89</t>
  </si>
  <si>
    <t>Hypertonie Grad 1</t>
  </si>
  <si>
    <t>140–159</t>
  </si>
  <si>
    <t>90–99</t>
  </si>
  <si>
    <t>Hypertonie Grad 2</t>
  </si>
  <si>
    <t>160–179</t>
  </si>
  <si>
    <t>100–109</t>
  </si>
  <si>
    <t>Hypertonie Grad 3</t>
  </si>
  <si>
    <t>≥ 180</t>
  </si>
  <si>
    <t>≥ 110</t>
  </si>
  <si>
    <t>Jahresübersicht Blutdruck 2026 (Vormittag / Mittag / Abend)</t>
  </si>
  <si>
    <t>Hinweis zur persönlichen Eingabe:</t>
  </si>
  <si>
    <t>Bitte Vorname, Name und Geburtsdatum hier einmalig eintragen.</t>
  </si>
  <si>
    <t>Das Gewicht wird monatlich direkt im jeweiligen Monatsblatt eingetragen.</t>
  </si>
  <si>
    <t>Vorname:</t>
  </si>
  <si>
    <t>Name:</t>
  </si>
  <si>
    <t>Geburtsdatum:</t>
  </si>
  <si>
    <t>Monat</t>
  </si>
  <si>
    <t>Ø Syst VM</t>
  </si>
  <si>
    <t>Ø Diast VM</t>
  </si>
  <si>
    <t>Ø Puls VM</t>
  </si>
  <si>
    <t>Messungen VM</t>
  </si>
  <si>
    <t>Ø Syst MI</t>
  </si>
  <si>
    <t>Ø Diast MI</t>
  </si>
  <si>
    <t>Ø Puls MI</t>
  </si>
  <si>
    <t>Messungen MI</t>
  </si>
  <si>
    <t>Ø Syst AB</t>
  </si>
  <si>
    <t>Ø Diast AB</t>
  </si>
  <si>
    <t>Ø Puls AB</t>
  </si>
  <si>
    <t>Messungen AB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</si>
  <si>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</si>
  <si>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</si>
  <si>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</si>
  <si>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</si>
  <si>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</si>
  <si>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</si>
  <si>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</si>
  <si>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</si>
  <si>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</si>
  <si>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</si>
  <si>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</si>
  <si>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</si>
  <si>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</si>
  <si>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kg</t>
  </si>
  <si>
    <t>Datum</t>
  </si>
  <si>
    <t>Syst VM</t>
  </si>
  <si>
    <t>Diast VM</t>
  </si>
  <si>
    <t>Puls VM</t>
  </si>
  <si>
    <t>Auswertung VM</t>
  </si>
  <si>
    <t>Syst MI</t>
  </si>
  <si>
    <t>Diast MI</t>
  </si>
  <si>
    <t>Puls MI</t>
  </si>
  <si>
    <t>Auswertung MI</t>
  </si>
  <si>
    <t>Syst AB</t>
  </si>
  <si>
    <t>Diast AB</t>
  </si>
  <si>
    <t>Puls AB</t>
  </si>
  <si>
    <t>Auswertung 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</si>
</sst>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b/>
      <sz val="11"/>
      <color rgb="FF666666"/>
      <name val="Calibri"/>
      <family val="2"/>
    </font>
    <font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EEECE1"/>
      </patternFill>
    </fill>
    <fill>
      <patternFill patternType="solid">
        <fgColor rgb="FFDDEBF7"/>
        <bgColor rgb="FFDDEBF7"/>
      </patternFill>
    </fill>
    <fill>
      <patternFill patternType="solid">
        <fgColor rgb="FFE2EFDA"/>
        <bgColor rgb="FFE2EFDA"/>
      </patternFill>
    </fill>
    <fill>
      <patternFill patternType="solid">
        <fgColor rgb="FFFFF2CC"/>
        <bgColor rgb="FFFFF2CC"/>
      </patternFill>
    </fill>
    <fill>
      <patternFill patternType="solid">
        <fgColor rgb="FFFCE4D6"/>
        <bgColor rgb="FFFCE4D6"/>
      </patternFill>
    </fill>
    <fill>
      <patternFill patternType="solid">
        <fgColor rgb="FFF4CCCC"/>
        <bgColor rgb="FFF4CCCC"/>
      </patternFill>
    </fill>
    <fill>
      <patternFill patternType="solid">
        <fgColor rgb="FFEA9999"/>
        <bgColor rgb="FFEA9999"/>
      </patternFill>
    </fill>
    <fill>
      <patternFill patternType="solid">
        <fgColor rgb="FFE06666"/>
        <bgColor rgb="FFE06666"/>
      </patternFill>
    </fill>
    <fill>
      <patternFill patternType="solid">
        <fgColor rgb="FFDDDDDD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0" fillId="9" borderId="0" xfId="0" applyFill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 wrapText="1"/>
      <protection locked="0"/>
    </xf>
    <xf numFmtId="0" fontId="4" fillId="10" borderId="0" xfId="0" applyFont="1" applyFill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164" fontId="5" fillId="0" borderId="0" xfId="0" applyNumberFormat="1" applyFont="1" applyAlignment="1">
      <alignment horizontal="left"/>
    </xf>
    <xf numFmtId="0" fontId="0" fillId="0" borderId="0" xfId="0"/>
    <xf numFmtId="164" fontId="1" fillId="0" borderId="1" xfId="0" applyNumberFormat="1" applyFont="1" applyBorder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/>
  </cellXfs>
  <cellStyles count="1">
    <cellStyle name="Standard" xfId="0" builtinId="0"/>
  </cellStyles>
  <dxfs count="324"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E06666"/>
          <bgColor rgb="FFE06666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E06666"/>
          <bgColor rgb="FFE06666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E06666"/>
          <bgColor rgb="FFE06666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E06666"/>
          <bgColor rgb="FFE06666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E06666"/>
          <bgColor rgb="FFE06666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E06666"/>
          <bgColor rgb="FFE06666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E06666"/>
          <bgColor rgb="FFE06666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E06666"/>
          <bgColor rgb="FFE06666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E06666"/>
          <bgColor rgb="FFE06666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E06666"/>
          <bgColor rgb="FFE06666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E06666"/>
          <bgColor rgb="FFE06666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E06666"/>
          <bgColor rgb="FFE06666"/>
        </patternFill>
      </fill>
    </dxf>
    <dxf>
      <font>
        <b/>
      </font>
    </dxf>
    <dxf>
      <font>
        <b/>
      </font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CE4D6"/>
          <bgColor rgb="FFFCE4D6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E2EFDA"/>
          <bgColor rgb="FFE2EFDA"/>
        </patternFill>
      </fill>
    </dxf>
    <dxf>
      <fill>
        <patternFill patternType="solid">
          <fgColor rgb="FFDDEBF7"/>
          <bgColor rgb="FFDDEBF7"/>
        </patternFill>
      </fill>
    </dxf>
    <dxf>
      <font>
        <b/>
      </font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/>
  </sheetViews>
  <sheetFormatPr baseColWidth="10" defaultColWidth="8.83203125" defaultRowHeight="15" x14ac:dyDescent="0.2"/>
  <cols>
    <col min="1" max="1" width="22" customWidth="1"/>
    <col min="2" max="3" width="18" customWidth="1"/>
  </cols>
  <sheetData>
    <row r="1" spans="1:3" ht="16" x14ac:dyDescent="0.2">
      <c r="A1" s="1" t="s">
        <v>0</v>
      </c>
      <c r="B1" s="1" t="s">
        <v>1</v>
      </c>
      <c r="C1" s="1" t="s">
        <v>2</v>
      </c>
    </row>
    <row r="2" spans="1:3" ht="16" x14ac:dyDescent="0.2">
      <c r="A2" s="2" t="s">
        <v>3</v>
      </c>
      <c r="B2" s="2" t="s">
        <v>4</v>
      </c>
      <c r="C2" s="2" t="s">
        <v>5</v>
      </c>
    </row>
    <row r="3" spans="1:3" ht="16" x14ac:dyDescent="0.2">
      <c r="A3" s="3" t="s">
        <v>6</v>
      </c>
      <c r="B3" s="3" t="s">
        <v>7</v>
      </c>
      <c r="C3" s="3" t="s">
        <v>8</v>
      </c>
    </row>
    <row r="4" spans="1:3" ht="16" x14ac:dyDescent="0.2">
      <c r="A4" s="4" t="s">
        <v>9</v>
      </c>
      <c r="B4" s="4" t="s">
        <v>10</v>
      </c>
      <c r="C4" s="4" t="s">
        <v>11</v>
      </c>
    </row>
    <row r="5" spans="1:3" ht="16" x14ac:dyDescent="0.2">
      <c r="A5" s="5" t="s">
        <v>12</v>
      </c>
      <c r="B5" s="5" t="s">
        <v>13</v>
      </c>
      <c r="C5" s="5" t="s">
        <v>14</v>
      </c>
    </row>
    <row r="6" spans="1:3" ht="16" x14ac:dyDescent="0.2">
      <c r="A6" s="6" t="s">
        <v>15</v>
      </c>
      <c r="B6" s="6" t="s">
        <v>16</v>
      </c>
      <c r="C6" s="6" t="s">
        <v>17</v>
      </c>
    </row>
    <row r="7" spans="1:3" ht="16" x14ac:dyDescent="0.2">
      <c r="A7" s="7" t="s">
        <v>18</v>
      </c>
      <c r="B7" s="7" t="s">
        <v>19</v>
      </c>
      <c r="C7" s="7" t="s">
        <v>20</v>
      </c>
    </row>
    <row r="8" spans="1:3" ht="16" x14ac:dyDescent="0.2">
      <c r="A8" s="8" t="s">
        <v>21</v>
      </c>
      <c r="B8" s="8" t="s">
        <v>22</v>
      </c>
      <c r="C8" s="8" t="s">
        <v>23</v>
      </c>
    </row>
  </sheetData>
  <sheetProtection password="CB1D" sheet="1"/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34"/>
  <sheetViews>
    <sheetView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2" customWidth="1"/>
    <col min="2" max="2" width="9" customWidth="1"/>
    <col min="3" max="3" width="10" customWidth="1"/>
    <col min="4" max="4" width="8" customWidth="1"/>
    <col min="5" max="5" width="15" customWidth="1"/>
    <col min="6" max="6" width="16" customWidth="1"/>
    <col min="7" max="7" width="10" customWidth="1"/>
    <col min="8" max="8" width="8" customWidth="1"/>
    <col min="9" max="9" width="15" customWidth="1"/>
    <col min="10" max="10" width="9" customWidth="1"/>
    <col min="11" max="11" width="10" customWidth="1"/>
    <col min="12" max="12" width="8" customWidth="1"/>
    <col min="13" max="13" width="15" customWidth="1"/>
  </cols>
  <sheetData>
    <row r="1" spans="1:13" x14ac:dyDescent="0.2">
      <c r="A1" s="10" t="s">
        <v>56</v>
      </c>
      <c r="B1" s="11">
        <v>2026</v>
      </c>
      <c r="D1" s="10" t="s">
        <v>31</v>
      </c>
      <c r="E1" s="11">
        <v>8</v>
      </c>
    </row>
    <row r="2" spans="1:13" x14ac:dyDescent="0.2">
      <c r="B2" s="13" t="str">
        <f>IF(Jahresübersicht!A6="","",Jahresübersicht!A6)</f>
        <v/>
      </c>
      <c r="D2" s="13" t="str">
        <f>IF(Jahresübersicht!C6="","",Jahresübersicht!C6)</f>
        <v/>
      </c>
      <c r="F2" s="14" t="str">
        <f>IF(Jahresübersicht!E6="","",Jahresübersicht!E6)</f>
        <v/>
      </c>
      <c r="H2" s="18"/>
      <c r="I2" s="15" t="s">
        <v>57</v>
      </c>
    </row>
    <row r="3" spans="1:13" ht="16" x14ac:dyDescent="0.2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7" t="s">
        <v>63</v>
      </c>
      <c r="G3" s="17" t="s">
        <v>64</v>
      </c>
      <c r="H3" s="17" t="s">
        <v>65</v>
      </c>
      <c r="I3" s="1" t="s">
        <v>66</v>
      </c>
      <c r="J3" s="17" t="s">
        <v>67</v>
      </c>
      <c r="K3" s="17" t="s">
        <v>68</v>
      </c>
      <c r="L3" s="17" t="s">
        <v>69</v>
      </c>
      <c r="M3" s="1" t="s">
        <v>70</v>
      </c>
    </row>
    <row r="4" spans="1:13" x14ac:dyDescent="0.2">
      <c r="A4" s="19">
        <f>IF(DAY(DATE(2026,8+1,0))&gt;=1,DATE(2026,8,1),"")</f>
        <v>46235</v>
      </c>
      <c r="B4" s="16"/>
      <c r="C4" s="16"/>
      <c r="D4" s="16"/>
      <c r="E4" s="12" t="str">
        <f t="shared" ref="E4:E34" si="0">IF(OR(B4="",C4=""),"",IF(OR(B4&lt;90,C4&lt;60),"Zu niedrig",IF(AND(B4&lt;120,C4&lt;80),"Optimal",IF(AND(B4&lt;130,C4&lt;85),"Normal",IF(AND(B4&lt;140,C4&lt;90),"Hoch-normal",IF(AND(B4&lt;160,C4&lt;100),"Hypertonie Grad 1",IF(AND(B4&lt;180,C4&lt;110),"Hypertonie Grad 2","Hypertonie Grad 3")))))))</f>
        <v/>
      </c>
      <c r="F4" s="11"/>
      <c r="G4" s="11"/>
      <c r="H4" s="11"/>
      <c r="I4" s="12" t="str">
        <f t="shared" ref="I4:I34" si="1">IF(OR(F4="",G4=""),"",IF(OR(F4&lt;90,G4&lt;60),"Zu niedrig",IF(AND(F4&lt;120,G4&lt;80),"Optimal",IF(AND(F4&lt;130,G4&lt;85),"Normal",IF(AND(F4&lt;140,G4&lt;90),"Hoch-normal",IF(AND(F4&lt;160,G4&lt;100),"Hypertonie Grad 1",IF(AND(F4&lt;180,G4&lt;110),"Hypertonie Grad 2","Hypertonie Grad 3")))))))</f>
        <v/>
      </c>
      <c r="J4" s="11"/>
      <c r="K4" s="11"/>
      <c r="L4" s="11"/>
      <c r="M4" s="12" t="str">
        <f t="shared" ref="M4:M34" si="2">IF(OR(J4="",K4=""),"",IF(OR(J4&lt;90,K4&lt;60),"Zu niedrig",IF(AND(J4&lt;120,K4&lt;80),"Optimal",IF(AND(J4&lt;130,K4&lt;85),"Normal",IF(AND(J4&lt;140,K4&lt;90),"Hoch-normal",IF(AND(J4&lt;160,K4&lt;100),"Hypertonie Grad 1",IF(AND(J4&lt;180,K4&lt;110),"Hypertonie Grad 2","Hypertonie Grad 3")))))))</f>
        <v/>
      </c>
    </row>
    <row r="5" spans="1:13" x14ac:dyDescent="0.2">
      <c r="A5" s="19">
        <f>IF(DAY(DATE(2026,8+1,0))&gt;=2,DATE(2026,8,2),"")</f>
        <v>46236</v>
      </c>
      <c r="B5" s="16"/>
      <c r="C5" s="16"/>
      <c r="D5" s="16"/>
      <c r="E5" s="12" t="str">
        <f t="shared" si="0"/>
        <v/>
      </c>
      <c r="F5" s="11"/>
      <c r="G5" s="11"/>
      <c r="H5" s="11"/>
      <c r="I5" s="12" t="str">
        <f t="shared" si="1"/>
        <v/>
      </c>
      <c r="J5" s="11"/>
      <c r="K5" s="11"/>
      <c r="L5" s="11"/>
      <c r="M5" s="12" t="str">
        <f t="shared" si="2"/>
        <v/>
      </c>
    </row>
    <row r="6" spans="1:13" x14ac:dyDescent="0.2">
      <c r="A6" s="19">
        <f>IF(DAY(DATE(2026,8+1,0))&gt;=3,DATE(2026,8,3),"")</f>
        <v>46237</v>
      </c>
      <c r="B6" s="16"/>
      <c r="C6" s="16"/>
      <c r="D6" s="16"/>
      <c r="E6" s="12" t="str">
        <f t="shared" si="0"/>
        <v/>
      </c>
      <c r="F6" s="11"/>
      <c r="G6" s="11"/>
      <c r="H6" s="11"/>
      <c r="I6" s="12" t="str">
        <f t="shared" si="1"/>
        <v/>
      </c>
      <c r="J6" s="11"/>
      <c r="K6" s="11"/>
      <c r="L6" s="11"/>
      <c r="M6" s="12" t="str">
        <f t="shared" si="2"/>
        <v/>
      </c>
    </row>
    <row r="7" spans="1:13" x14ac:dyDescent="0.2">
      <c r="A7" s="19">
        <f>IF(DAY(DATE(2026,8+1,0))&gt;=4,DATE(2026,8,4),"")</f>
        <v>46238</v>
      </c>
      <c r="B7" s="16"/>
      <c r="C7" s="16"/>
      <c r="D7" s="16"/>
      <c r="E7" s="12" t="str">
        <f t="shared" si="0"/>
        <v/>
      </c>
      <c r="F7" s="11"/>
      <c r="G7" s="11"/>
      <c r="H7" s="11"/>
      <c r="I7" s="12" t="str">
        <f t="shared" si="1"/>
        <v/>
      </c>
      <c r="J7" s="11"/>
      <c r="K7" s="11"/>
      <c r="L7" s="11"/>
      <c r="M7" s="12" t="str">
        <f t="shared" si="2"/>
        <v/>
      </c>
    </row>
    <row r="8" spans="1:13" x14ac:dyDescent="0.2">
      <c r="A8" s="19">
        <f>IF(DAY(DATE(2026,8+1,0))&gt;=5,DATE(2026,8,5),"")</f>
        <v>46239</v>
      </c>
      <c r="B8" s="16"/>
      <c r="C8" s="16"/>
      <c r="D8" s="16"/>
      <c r="E8" s="12" t="str">
        <f t="shared" si="0"/>
        <v/>
      </c>
      <c r="F8" s="11"/>
      <c r="G8" s="11"/>
      <c r="H8" s="11"/>
      <c r="I8" s="12" t="str">
        <f t="shared" si="1"/>
        <v/>
      </c>
      <c r="J8" s="11"/>
      <c r="K8" s="11"/>
      <c r="L8" s="11"/>
      <c r="M8" s="12" t="str">
        <f t="shared" si="2"/>
        <v/>
      </c>
    </row>
    <row r="9" spans="1:13" x14ac:dyDescent="0.2">
      <c r="A9" s="19">
        <f>IF(DAY(DATE(2026,8+1,0))&gt;=6,DATE(2026,8,6),"")</f>
        <v>46240</v>
      </c>
      <c r="B9" s="16"/>
      <c r="C9" s="16"/>
      <c r="D9" s="16"/>
      <c r="E9" s="12" t="str">
        <f t="shared" si="0"/>
        <v/>
      </c>
      <c r="F9" s="11"/>
      <c r="G9" s="11"/>
      <c r="H9" s="11"/>
      <c r="I9" s="12" t="str">
        <f t="shared" si="1"/>
        <v/>
      </c>
      <c r="J9" s="11"/>
      <c r="K9" s="11"/>
      <c r="L9" s="11"/>
      <c r="M9" s="12" t="str">
        <f t="shared" si="2"/>
        <v/>
      </c>
    </row>
    <row r="10" spans="1:13" x14ac:dyDescent="0.2">
      <c r="A10" s="19">
        <f>IF(DAY(DATE(2026,8+1,0))&gt;=7,DATE(2026,8,7),"")</f>
        <v>46241</v>
      </c>
      <c r="B10" s="16"/>
      <c r="C10" s="16"/>
      <c r="D10" s="16"/>
      <c r="E10" s="12" t="str">
        <f t="shared" si="0"/>
        <v/>
      </c>
      <c r="F10" s="11"/>
      <c r="G10" s="11"/>
      <c r="H10" s="11"/>
      <c r="I10" s="12" t="str">
        <f t="shared" si="1"/>
        <v/>
      </c>
      <c r="J10" s="11"/>
      <c r="K10" s="11"/>
      <c r="L10" s="11"/>
      <c r="M10" s="12" t="str">
        <f t="shared" si="2"/>
        <v/>
      </c>
    </row>
    <row r="11" spans="1:13" x14ac:dyDescent="0.2">
      <c r="A11" s="19">
        <f>IF(DAY(DATE(2026,8+1,0))&gt;=8,DATE(2026,8,8),"")</f>
        <v>46242</v>
      </c>
      <c r="B11" s="16"/>
      <c r="C11" s="16"/>
      <c r="D11" s="16"/>
      <c r="E11" s="12" t="str">
        <f t="shared" si="0"/>
        <v/>
      </c>
      <c r="F11" s="11"/>
      <c r="G11" s="11"/>
      <c r="H11" s="11"/>
      <c r="I11" s="12" t="str">
        <f t="shared" si="1"/>
        <v/>
      </c>
      <c r="J11" s="11"/>
      <c r="K11" s="11"/>
      <c r="L11" s="11"/>
      <c r="M11" s="12" t="str">
        <f t="shared" si="2"/>
        <v/>
      </c>
    </row>
    <row r="12" spans="1:13" x14ac:dyDescent="0.2">
      <c r="A12" s="19">
        <f>IF(DAY(DATE(2026,8+1,0))&gt;=9,DATE(2026,8,9),"")</f>
        <v>46243</v>
      </c>
      <c r="B12" s="16"/>
      <c r="C12" s="16"/>
      <c r="D12" s="16"/>
      <c r="E12" s="12" t="str">
        <f t="shared" si="0"/>
        <v/>
      </c>
      <c r="F12" s="11"/>
      <c r="G12" s="11"/>
      <c r="H12" s="11"/>
      <c r="I12" s="12" t="str">
        <f t="shared" si="1"/>
        <v/>
      </c>
      <c r="J12" s="11"/>
      <c r="K12" s="11"/>
      <c r="L12" s="11"/>
      <c r="M12" s="12" t="str">
        <f t="shared" si="2"/>
        <v/>
      </c>
    </row>
    <row r="13" spans="1:13" x14ac:dyDescent="0.2">
      <c r="A13" s="19">
        <f>IF(DAY(DATE(2026,8+1,0))&gt;=10,DATE(2026,8,10),"")</f>
        <v>46244</v>
      </c>
      <c r="B13" s="16"/>
      <c r="C13" s="16"/>
      <c r="D13" s="16"/>
      <c r="E13" s="12" t="str">
        <f t="shared" si="0"/>
        <v/>
      </c>
      <c r="F13" s="11"/>
      <c r="G13" s="11"/>
      <c r="H13" s="11"/>
      <c r="I13" s="12" t="str">
        <f t="shared" si="1"/>
        <v/>
      </c>
      <c r="J13" s="11"/>
      <c r="K13" s="11"/>
      <c r="L13" s="11"/>
      <c r="M13" s="12" t="str">
        <f t="shared" si="2"/>
        <v/>
      </c>
    </row>
    <row r="14" spans="1:13" x14ac:dyDescent="0.2">
      <c r="A14" s="19">
        <f>IF(DAY(DATE(2026,8+1,0))&gt;=11,DATE(2026,8,11),"")</f>
        <v>46245</v>
      </c>
      <c r="B14" s="16"/>
      <c r="C14" s="16"/>
      <c r="D14" s="16"/>
      <c r="E14" s="12" t="str">
        <f t="shared" si="0"/>
        <v/>
      </c>
      <c r="F14" s="11"/>
      <c r="G14" s="11"/>
      <c r="H14" s="11"/>
      <c r="I14" s="12" t="str">
        <f t="shared" si="1"/>
        <v/>
      </c>
      <c r="J14" s="11"/>
      <c r="K14" s="11"/>
      <c r="L14" s="11"/>
      <c r="M14" s="12" t="str">
        <f t="shared" si="2"/>
        <v/>
      </c>
    </row>
    <row r="15" spans="1:13" x14ac:dyDescent="0.2">
      <c r="A15" s="19">
        <f>IF(DAY(DATE(2026,8+1,0))&gt;=12,DATE(2026,8,12),"")</f>
        <v>46246</v>
      </c>
      <c r="B15" s="16"/>
      <c r="C15" s="16"/>
      <c r="D15" s="16"/>
      <c r="E15" s="12" t="str">
        <f t="shared" si="0"/>
        <v/>
      </c>
      <c r="F15" s="11"/>
      <c r="G15" s="11"/>
      <c r="H15" s="11"/>
      <c r="I15" s="12" t="str">
        <f t="shared" si="1"/>
        <v/>
      </c>
      <c r="J15" s="11"/>
      <c r="K15" s="11"/>
      <c r="L15" s="11"/>
      <c r="M15" s="12" t="str">
        <f t="shared" si="2"/>
        <v/>
      </c>
    </row>
    <row r="16" spans="1:13" x14ac:dyDescent="0.2">
      <c r="A16" s="19">
        <f>IF(DAY(DATE(2026,8+1,0))&gt;=13,DATE(2026,8,13),"")</f>
        <v>46247</v>
      </c>
      <c r="B16" s="16"/>
      <c r="C16" s="16"/>
      <c r="D16" s="16"/>
      <c r="E16" s="12" t="str">
        <f t="shared" si="0"/>
        <v/>
      </c>
      <c r="F16" s="11"/>
      <c r="G16" s="11"/>
      <c r="H16" s="11"/>
      <c r="I16" s="12" t="str">
        <f t="shared" si="1"/>
        <v/>
      </c>
      <c r="J16" s="11"/>
      <c r="K16" s="11"/>
      <c r="L16" s="11"/>
      <c r="M16" s="12" t="str">
        <f t="shared" si="2"/>
        <v/>
      </c>
    </row>
    <row r="17" spans="1:13" x14ac:dyDescent="0.2">
      <c r="A17" s="19">
        <f>IF(DAY(DATE(2026,8+1,0))&gt;=14,DATE(2026,8,14),"")</f>
        <v>46248</v>
      </c>
      <c r="B17" s="16"/>
      <c r="C17" s="16"/>
      <c r="D17" s="16"/>
      <c r="E17" s="12" t="str">
        <f t="shared" si="0"/>
        <v/>
      </c>
      <c r="F17" s="11"/>
      <c r="G17" s="11"/>
      <c r="H17" s="11"/>
      <c r="I17" s="12" t="str">
        <f t="shared" si="1"/>
        <v/>
      </c>
      <c r="J17" s="11"/>
      <c r="K17" s="11"/>
      <c r="L17" s="11"/>
      <c r="M17" s="12" t="str">
        <f t="shared" si="2"/>
        <v/>
      </c>
    </row>
    <row r="18" spans="1:13" x14ac:dyDescent="0.2">
      <c r="A18" s="19">
        <f>IF(DAY(DATE(2026,8+1,0))&gt;=15,DATE(2026,8,15),"")</f>
        <v>46249</v>
      </c>
      <c r="B18" s="16"/>
      <c r="C18" s="16"/>
      <c r="D18" s="16"/>
      <c r="E18" s="12" t="str">
        <f t="shared" si="0"/>
        <v/>
      </c>
      <c r="F18" s="11"/>
      <c r="G18" s="11"/>
      <c r="H18" s="11"/>
      <c r="I18" s="12" t="str">
        <f t="shared" si="1"/>
        <v/>
      </c>
      <c r="J18" s="11"/>
      <c r="K18" s="11"/>
      <c r="L18" s="11"/>
      <c r="M18" s="12" t="str">
        <f t="shared" si="2"/>
        <v/>
      </c>
    </row>
    <row r="19" spans="1:13" x14ac:dyDescent="0.2">
      <c r="A19" s="19">
        <f>IF(DAY(DATE(2026,8+1,0))&gt;=16,DATE(2026,8,16),"")</f>
        <v>46250</v>
      </c>
      <c r="B19" s="16"/>
      <c r="C19" s="16"/>
      <c r="D19" s="16"/>
      <c r="E19" s="12" t="str">
        <f t="shared" si="0"/>
        <v/>
      </c>
      <c r="F19" s="11"/>
      <c r="G19" s="11"/>
      <c r="H19" s="11"/>
      <c r="I19" s="12" t="str">
        <f t="shared" si="1"/>
        <v/>
      </c>
      <c r="J19" s="11"/>
      <c r="K19" s="11"/>
      <c r="L19" s="11"/>
      <c r="M19" s="12" t="str">
        <f t="shared" si="2"/>
        <v/>
      </c>
    </row>
    <row r="20" spans="1:13" x14ac:dyDescent="0.2">
      <c r="A20" s="19">
        <f>IF(DAY(DATE(2026,8+1,0))&gt;=17,DATE(2026,8,17),"")</f>
        <v>46251</v>
      </c>
      <c r="B20" s="16"/>
      <c r="C20" s="16"/>
      <c r="D20" s="16"/>
      <c r="E20" s="12" t="str">
        <f t="shared" si="0"/>
        <v/>
      </c>
      <c r="F20" s="11"/>
      <c r="G20" s="11"/>
      <c r="H20" s="11"/>
      <c r="I20" s="12" t="str">
        <f t="shared" si="1"/>
        <v/>
      </c>
      <c r="J20" s="11"/>
      <c r="K20" s="11"/>
      <c r="L20" s="11"/>
      <c r="M20" s="12" t="str">
        <f t="shared" si="2"/>
        <v/>
      </c>
    </row>
    <row r="21" spans="1:13" x14ac:dyDescent="0.2">
      <c r="A21" s="19">
        <f>IF(DAY(DATE(2026,8+1,0))&gt;=18,DATE(2026,8,18),"")</f>
        <v>46252</v>
      </c>
      <c r="B21" s="16"/>
      <c r="C21" s="16"/>
      <c r="D21" s="16"/>
      <c r="E21" s="12" t="str">
        <f t="shared" si="0"/>
        <v/>
      </c>
      <c r="F21" s="11"/>
      <c r="G21" s="11"/>
      <c r="H21" s="11"/>
      <c r="I21" s="12" t="str">
        <f t="shared" si="1"/>
        <v/>
      </c>
      <c r="J21" s="11"/>
      <c r="K21" s="11"/>
      <c r="L21" s="11"/>
      <c r="M21" s="12" t="str">
        <f t="shared" si="2"/>
        <v/>
      </c>
    </row>
    <row r="22" spans="1:13" x14ac:dyDescent="0.2">
      <c r="A22" s="19">
        <f>IF(DAY(DATE(2026,8+1,0))&gt;=19,DATE(2026,8,19),"")</f>
        <v>46253</v>
      </c>
      <c r="B22" s="16"/>
      <c r="C22" s="16"/>
      <c r="D22" s="16"/>
      <c r="E22" s="12" t="str">
        <f t="shared" si="0"/>
        <v/>
      </c>
      <c r="F22" s="11"/>
      <c r="G22" s="11"/>
      <c r="H22" s="11"/>
      <c r="I22" s="12" t="str">
        <f t="shared" si="1"/>
        <v/>
      </c>
      <c r="J22" s="11"/>
      <c r="K22" s="11"/>
      <c r="L22" s="11"/>
      <c r="M22" s="12" t="str">
        <f t="shared" si="2"/>
        <v/>
      </c>
    </row>
    <row r="23" spans="1:13" x14ac:dyDescent="0.2">
      <c r="A23" s="19">
        <f>IF(DAY(DATE(2026,8+1,0))&gt;=20,DATE(2026,8,20),"")</f>
        <v>46254</v>
      </c>
      <c r="B23" s="16"/>
      <c r="C23" s="16"/>
      <c r="D23" s="16"/>
      <c r="E23" s="12" t="str">
        <f t="shared" si="0"/>
        <v/>
      </c>
      <c r="F23" s="11"/>
      <c r="G23" s="11"/>
      <c r="H23" s="11"/>
      <c r="I23" s="12" t="str">
        <f t="shared" si="1"/>
        <v/>
      </c>
      <c r="J23" s="11"/>
      <c r="K23" s="11"/>
      <c r="L23" s="11"/>
      <c r="M23" s="12" t="str">
        <f t="shared" si="2"/>
        <v/>
      </c>
    </row>
    <row r="24" spans="1:13" x14ac:dyDescent="0.2">
      <c r="A24" s="19">
        <f>IF(DAY(DATE(2026,8+1,0))&gt;=21,DATE(2026,8,21),"")</f>
        <v>46255</v>
      </c>
      <c r="B24" s="16"/>
      <c r="C24" s="16"/>
      <c r="D24" s="16"/>
      <c r="E24" s="12" t="str">
        <f t="shared" si="0"/>
        <v/>
      </c>
      <c r="F24" s="11"/>
      <c r="G24" s="11"/>
      <c r="H24" s="11"/>
      <c r="I24" s="12" t="str">
        <f t="shared" si="1"/>
        <v/>
      </c>
      <c r="J24" s="11"/>
      <c r="K24" s="11"/>
      <c r="L24" s="11"/>
      <c r="M24" s="12" t="str">
        <f t="shared" si="2"/>
        <v/>
      </c>
    </row>
    <row r="25" spans="1:13" x14ac:dyDescent="0.2">
      <c r="A25" s="19">
        <f>IF(DAY(DATE(2026,8+1,0))&gt;=22,DATE(2026,8,22),"")</f>
        <v>46256</v>
      </c>
      <c r="B25" s="16"/>
      <c r="C25" s="16"/>
      <c r="D25" s="16"/>
      <c r="E25" s="12" t="str">
        <f t="shared" si="0"/>
        <v/>
      </c>
      <c r="F25" s="11"/>
      <c r="G25" s="11"/>
      <c r="H25" s="11"/>
      <c r="I25" s="12" t="str">
        <f t="shared" si="1"/>
        <v/>
      </c>
      <c r="J25" s="11"/>
      <c r="K25" s="11"/>
      <c r="L25" s="11"/>
      <c r="M25" s="12" t="str">
        <f t="shared" si="2"/>
        <v/>
      </c>
    </row>
    <row r="26" spans="1:13" x14ac:dyDescent="0.2">
      <c r="A26" s="19">
        <f>IF(DAY(DATE(2026,8+1,0))&gt;=23,DATE(2026,8,23),"")</f>
        <v>46257</v>
      </c>
      <c r="B26" s="16"/>
      <c r="C26" s="16"/>
      <c r="D26" s="16"/>
      <c r="E26" s="12" t="str">
        <f t="shared" si="0"/>
        <v/>
      </c>
      <c r="F26" s="11"/>
      <c r="G26" s="11"/>
      <c r="H26" s="11"/>
      <c r="I26" s="12" t="str">
        <f t="shared" si="1"/>
        <v/>
      </c>
      <c r="J26" s="11"/>
      <c r="K26" s="11"/>
      <c r="L26" s="11"/>
      <c r="M26" s="12" t="str">
        <f t="shared" si="2"/>
        <v/>
      </c>
    </row>
    <row r="27" spans="1:13" x14ac:dyDescent="0.2">
      <c r="A27" s="19">
        <f>IF(DAY(DATE(2026,8+1,0))&gt;=24,DATE(2026,8,24),"")</f>
        <v>46258</v>
      </c>
      <c r="B27" s="16"/>
      <c r="C27" s="16"/>
      <c r="D27" s="16"/>
      <c r="E27" s="12" t="str">
        <f t="shared" si="0"/>
        <v/>
      </c>
      <c r="F27" s="11"/>
      <c r="G27" s="11"/>
      <c r="H27" s="11"/>
      <c r="I27" s="12" t="str">
        <f t="shared" si="1"/>
        <v/>
      </c>
      <c r="J27" s="11"/>
      <c r="K27" s="11"/>
      <c r="L27" s="11"/>
      <c r="M27" s="12" t="str">
        <f t="shared" si="2"/>
        <v/>
      </c>
    </row>
    <row r="28" spans="1:13" x14ac:dyDescent="0.2">
      <c r="A28" s="19">
        <f>IF(DAY(DATE(2026,8+1,0))&gt;=25,DATE(2026,8,25),"")</f>
        <v>46259</v>
      </c>
      <c r="B28" s="16"/>
      <c r="C28" s="16"/>
      <c r="D28" s="16"/>
      <c r="E28" s="12" t="str">
        <f t="shared" si="0"/>
        <v/>
      </c>
      <c r="F28" s="11"/>
      <c r="G28" s="11"/>
      <c r="H28" s="11"/>
      <c r="I28" s="12" t="str">
        <f t="shared" si="1"/>
        <v/>
      </c>
      <c r="J28" s="11"/>
      <c r="K28" s="11"/>
      <c r="L28" s="11"/>
      <c r="M28" s="12" t="str">
        <f t="shared" si="2"/>
        <v/>
      </c>
    </row>
    <row r="29" spans="1:13" x14ac:dyDescent="0.2">
      <c r="A29" s="19">
        <f>IF(DAY(DATE(2026,8+1,0))&gt;=26,DATE(2026,8,26),"")</f>
        <v>46260</v>
      </c>
      <c r="B29" s="16"/>
      <c r="C29" s="16"/>
      <c r="D29" s="16"/>
      <c r="E29" s="12" t="str">
        <f t="shared" si="0"/>
        <v/>
      </c>
      <c r="F29" s="11"/>
      <c r="G29" s="11"/>
      <c r="H29" s="11"/>
      <c r="I29" s="12" t="str">
        <f t="shared" si="1"/>
        <v/>
      </c>
      <c r="J29" s="11"/>
      <c r="K29" s="11"/>
      <c r="L29" s="11"/>
      <c r="M29" s="12" t="str">
        <f t="shared" si="2"/>
        <v/>
      </c>
    </row>
    <row r="30" spans="1:13" x14ac:dyDescent="0.2">
      <c r="A30" s="19">
        <f>IF(DAY(DATE(2026,8+1,0))&gt;=27,DATE(2026,8,27),"")</f>
        <v>46261</v>
      </c>
      <c r="B30" s="16"/>
      <c r="C30" s="16"/>
      <c r="D30" s="16"/>
      <c r="E30" s="12" t="str">
        <f t="shared" si="0"/>
        <v/>
      </c>
      <c r="F30" s="11"/>
      <c r="G30" s="11"/>
      <c r="H30" s="11"/>
      <c r="I30" s="12" t="str">
        <f t="shared" si="1"/>
        <v/>
      </c>
      <c r="J30" s="11"/>
      <c r="K30" s="11"/>
      <c r="L30" s="11"/>
      <c r="M30" s="12" t="str">
        <f t="shared" si="2"/>
        <v/>
      </c>
    </row>
    <row r="31" spans="1:13" x14ac:dyDescent="0.2">
      <c r="A31" s="19">
        <f>IF(DAY(DATE(2026,8+1,0))&gt;=28,DATE(2026,8,28),"")</f>
        <v>46262</v>
      </c>
      <c r="B31" s="16"/>
      <c r="C31" s="16"/>
      <c r="D31" s="16"/>
      <c r="E31" s="12" t="str">
        <f t="shared" si="0"/>
        <v/>
      </c>
      <c r="F31" s="11"/>
      <c r="G31" s="11"/>
      <c r="H31" s="11"/>
      <c r="I31" s="12" t="str">
        <f t="shared" si="1"/>
        <v/>
      </c>
      <c r="J31" s="11"/>
      <c r="K31" s="11"/>
      <c r="L31" s="11"/>
      <c r="M31" s="12" t="str">
        <f t="shared" si="2"/>
        <v/>
      </c>
    </row>
    <row r="32" spans="1:13" x14ac:dyDescent="0.2">
      <c r="A32" s="19">
        <f>IF(DAY(DATE(2026,8+1,0))&gt;=29,DATE(2026,8,29),"")</f>
        <v>46263</v>
      </c>
      <c r="B32" s="16"/>
      <c r="C32" s="16"/>
      <c r="D32" s="16"/>
      <c r="E32" s="12" t="str">
        <f t="shared" si="0"/>
        <v/>
      </c>
      <c r="F32" s="11"/>
      <c r="G32" s="11"/>
      <c r="H32" s="11"/>
      <c r="I32" s="12" t="str">
        <f t="shared" si="1"/>
        <v/>
      </c>
      <c r="J32" s="11"/>
      <c r="K32" s="11"/>
      <c r="L32" s="11"/>
      <c r="M32" s="12" t="str">
        <f t="shared" si="2"/>
        <v/>
      </c>
    </row>
    <row r="33" spans="1:13" x14ac:dyDescent="0.2">
      <c r="A33" s="19">
        <f>IF(DAY(DATE(2026,8+1,0))&gt;=30,DATE(2026,8,30),"")</f>
        <v>46264</v>
      </c>
      <c r="B33" s="16"/>
      <c r="C33" s="16"/>
      <c r="D33" s="16"/>
      <c r="E33" s="12" t="str">
        <f t="shared" si="0"/>
        <v/>
      </c>
      <c r="F33" s="11"/>
      <c r="G33" s="11"/>
      <c r="H33" s="11"/>
      <c r="I33" s="12" t="str">
        <f t="shared" si="1"/>
        <v/>
      </c>
      <c r="J33" s="11"/>
      <c r="K33" s="11"/>
      <c r="L33" s="11"/>
      <c r="M33" s="12" t="str">
        <f t="shared" si="2"/>
        <v/>
      </c>
    </row>
    <row r="34" spans="1:13" x14ac:dyDescent="0.2">
      <c r="A34" s="19">
        <f>IF(DAY(DATE(2026,8+1,0))&gt;=31,DATE(2026,8,31),"")</f>
        <v>46265</v>
      </c>
      <c r="B34" s="16"/>
      <c r="C34" s="16"/>
      <c r="D34" s="16"/>
      <c r="E34" s="12" t="str">
        <f t="shared" si="0"/>
        <v/>
      </c>
      <c r="F34" s="11"/>
      <c r="G34" s="11"/>
      <c r="H34" s="11"/>
      <c r="I34" s="12" t="str">
        <f t="shared" si="1"/>
        <v/>
      </c>
      <c r="J34" s="11"/>
      <c r="K34" s="11"/>
      <c r="L34" s="11"/>
      <c r="M34" s="12" t="str">
        <f t="shared" si="2"/>
        <v/>
      </c>
    </row>
  </sheetData>
  <sheetProtection password="CB1D" sheet="1"/>
  <conditionalFormatting sqref="B4:D34">
    <cfRule type="expression" dxfId="134" priority="23">
      <formula>$E4="Hypertonie Grad 3"</formula>
    </cfRule>
    <cfRule type="expression" dxfId="133" priority="22">
      <formula>$E4="Hypertonie Grad 2"</formula>
    </cfRule>
  </conditionalFormatting>
  <conditionalFormatting sqref="E4:E34">
    <cfRule type="expression" dxfId="132" priority="1">
      <formula>$E4="Zu niedrig"</formula>
    </cfRule>
    <cfRule type="expression" dxfId="131" priority="2">
      <formula>$E4="Optimal"</formula>
    </cfRule>
    <cfRule type="expression" dxfId="130" priority="3">
      <formula>$E4="Normal"</formula>
    </cfRule>
    <cfRule type="expression" dxfId="129" priority="4">
      <formula>$E4="Hoch-normal"</formula>
    </cfRule>
    <cfRule type="expression" dxfId="128" priority="5">
      <formula>$E4="Hypertonie Grad 1"</formula>
    </cfRule>
    <cfRule type="expression" dxfId="127" priority="6">
      <formula>$E4="Hypertonie Grad 2"</formula>
    </cfRule>
    <cfRule type="expression" dxfId="126" priority="7">
      <formula>$E4="Hypertonie Grad 3"</formula>
    </cfRule>
  </conditionalFormatting>
  <conditionalFormatting sqref="F4:H34">
    <cfRule type="expression" dxfId="125" priority="25">
      <formula>$I4="Hypertonie Grad 3"</formula>
    </cfRule>
    <cfRule type="expression" dxfId="124" priority="24">
      <formula>$I4="Hypertonie Grad 2"</formula>
    </cfRule>
  </conditionalFormatting>
  <conditionalFormatting sqref="I4:I34">
    <cfRule type="expression" dxfId="123" priority="14">
      <formula>$I4="Hypertonie Grad 3"</formula>
    </cfRule>
    <cfRule type="expression" dxfId="122" priority="13">
      <formula>$I4="Hypertonie Grad 2"</formula>
    </cfRule>
    <cfRule type="expression" dxfId="121" priority="12">
      <formula>$I4="Hypertonie Grad 1"</formula>
    </cfRule>
    <cfRule type="expression" dxfId="120" priority="11">
      <formula>$I4="Hoch-normal"</formula>
    </cfRule>
    <cfRule type="expression" dxfId="119" priority="10">
      <formula>$I4="Normal"</formula>
    </cfRule>
    <cfRule type="expression" dxfId="118" priority="9">
      <formula>$I4="Optimal"</formula>
    </cfRule>
    <cfRule type="expression" dxfId="117" priority="8">
      <formula>$I4="Zu niedrig"</formula>
    </cfRule>
  </conditionalFormatting>
  <conditionalFormatting sqref="J4:L34">
    <cfRule type="expression" dxfId="116" priority="26">
      <formula>$M4="Hypertonie Grad 2"</formula>
    </cfRule>
    <cfRule type="expression" dxfId="115" priority="27">
      <formula>$M4="Hypertonie Grad 3"</formula>
    </cfRule>
  </conditionalFormatting>
  <conditionalFormatting sqref="M4:M34">
    <cfRule type="expression" dxfId="114" priority="15">
      <formula>$M4="Zu niedrig"</formula>
    </cfRule>
    <cfRule type="expression" dxfId="113" priority="16">
      <formula>$M4="Optimal"</formula>
    </cfRule>
    <cfRule type="expression" dxfId="112" priority="17">
      <formula>$M4="Normal"</formula>
    </cfRule>
    <cfRule type="expression" dxfId="111" priority="18">
      <formula>$M4="Hoch-normal"</formula>
    </cfRule>
    <cfRule type="expression" dxfId="110" priority="19">
      <formula>$M4="Hypertonie Grad 1"</formula>
    </cfRule>
    <cfRule type="expression" dxfId="109" priority="20">
      <formula>$M4="Hypertonie Grad 2"</formula>
    </cfRule>
    <cfRule type="expression" dxfId="108" priority="21">
      <formula>$M4="Hypertonie Grad 3"</formula>
    </cfRule>
  </conditionalFormatting>
  <printOptions horizontalCentered="1"/>
  <pageMargins left="0.4" right="0.4" top="0.6" bottom="0.6" header="0.5" footer="0.5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34"/>
  <sheetViews>
    <sheetView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2" customWidth="1"/>
    <col min="2" max="2" width="9" customWidth="1"/>
    <col min="3" max="3" width="10" customWidth="1"/>
    <col min="4" max="4" width="8" customWidth="1"/>
    <col min="5" max="5" width="15" customWidth="1"/>
    <col min="6" max="6" width="16" customWidth="1"/>
    <col min="7" max="7" width="10" customWidth="1"/>
    <col min="8" max="8" width="8" customWidth="1"/>
    <col min="9" max="9" width="15" customWidth="1"/>
    <col min="10" max="10" width="9" customWidth="1"/>
    <col min="11" max="11" width="10" customWidth="1"/>
    <col min="12" max="12" width="8" customWidth="1"/>
    <col min="13" max="13" width="15" customWidth="1"/>
  </cols>
  <sheetData>
    <row r="1" spans="1:13" x14ac:dyDescent="0.2">
      <c r="A1" s="10" t="s">
        <v>56</v>
      </c>
      <c r="B1" s="11">
        <v>2026</v>
      </c>
      <c r="D1" s="10" t="s">
        <v>31</v>
      </c>
      <c r="E1" s="11">
        <v>9</v>
      </c>
    </row>
    <row r="2" spans="1:13" x14ac:dyDescent="0.2">
      <c r="B2" s="13" t="str">
        <f>IF(Jahresübersicht!A6="","",Jahresübersicht!A6)</f>
        <v/>
      </c>
      <c r="D2" s="13" t="str">
        <f>IF(Jahresübersicht!C6="","",Jahresübersicht!C6)</f>
        <v/>
      </c>
      <c r="F2" s="14" t="str">
        <f>IF(Jahresübersicht!E6="","",Jahresübersicht!E6)</f>
        <v/>
      </c>
      <c r="H2" s="18"/>
      <c r="I2" s="15" t="s">
        <v>57</v>
      </c>
    </row>
    <row r="3" spans="1:13" ht="16" x14ac:dyDescent="0.2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7" t="s">
        <v>63</v>
      </c>
      <c r="G3" s="17" t="s">
        <v>64</v>
      </c>
      <c r="H3" s="17" t="s">
        <v>65</v>
      </c>
      <c r="I3" s="1" t="s">
        <v>66</v>
      </c>
      <c r="J3" s="17" t="s">
        <v>67</v>
      </c>
      <c r="K3" s="17" t="s">
        <v>68</v>
      </c>
      <c r="L3" s="17" t="s">
        <v>69</v>
      </c>
      <c r="M3" s="1" t="s">
        <v>70</v>
      </c>
    </row>
    <row r="4" spans="1:13" x14ac:dyDescent="0.2">
      <c r="A4" s="19">
        <f>IF(DAY(DATE(2026,9+1,0))&gt;=1,DATE(2026,9,1),"")</f>
        <v>46266</v>
      </c>
      <c r="B4" s="16"/>
      <c r="C4" s="16"/>
      <c r="D4" s="16"/>
      <c r="E4" s="12" t="str">
        <f t="shared" ref="E4:E34" si="0">IF(OR(B4="",C4=""),"",IF(OR(B4&lt;90,C4&lt;60),"Zu niedrig",IF(AND(B4&lt;120,C4&lt;80),"Optimal",IF(AND(B4&lt;130,C4&lt;85),"Normal",IF(AND(B4&lt;140,C4&lt;90),"Hoch-normal",IF(AND(B4&lt;160,C4&lt;100),"Hypertonie Grad 1",IF(AND(B4&lt;180,C4&lt;110),"Hypertonie Grad 2","Hypertonie Grad 3")))))))</f>
        <v/>
      </c>
      <c r="F4" s="11"/>
      <c r="G4" s="11"/>
      <c r="H4" s="11"/>
      <c r="I4" s="12" t="str">
        <f t="shared" ref="I4:I34" si="1">IF(OR(F4="",G4=""),"",IF(OR(F4&lt;90,G4&lt;60),"Zu niedrig",IF(AND(F4&lt;120,G4&lt;80),"Optimal",IF(AND(F4&lt;130,G4&lt;85),"Normal",IF(AND(F4&lt;140,G4&lt;90),"Hoch-normal",IF(AND(F4&lt;160,G4&lt;100),"Hypertonie Grad 1",IF(AND(F4&lt;180,G4&lt;110),"Hypertonie Grad 2","Hypertonie Grad 3")))))))</f>
        <v/>
      </c>
      <c r="J4" s="11"/>
      <c r="K4" s="11"/>
      <c r="L4" s="11"/>
      <c r="M4" s="12" t="str">
        <f t="shared" ref="M4:M34" si="2">IF(OR(J4="",K4=""),"",IF(OR(J4&lt;90,K4&lt;60),"Zu niedrig",IF(AND(J4&lt;120,K4&lt;80),"Optimal",IF(AND(J4&lt;130,K4&lt;85),"Normal",IF(AND(J4&lt;140,K4&lt;90),"Hoch-normal",IF(AND(J4&lt;160,K4&lt;100),"Hypertonie Grad 1",IF(AND(J4&lt;180,K4&lt;110),"Hypertonie Grad 2","Hypertonie Grad 3")))))))</f>
        <v/>
      </c>
    </row>
    <row r="5" spans="1:13" x14ac:dyDescent="0.2">
      <c r="A5" s="19">
        <f>IF(DAY(DATE(2026,9+1,0))&gt;=2,DATE(2026,9,2),"")</f>
        <v>46267</v>
      </c>
      <c r="B5" s="16"/>
      <c r="C5" s="16"/>
      <c r="D5" s="16"/>
      <c r="E5" s="12" t="str">
        <f t="shared" si="0"/>
        <v/>
      </c>
      <c r="F5" s="11"/>
      <c r="G5" s="11"/>
      <c r="H5" s="11"/>
      <c r="I5" s="12" t="str">
        <f t="shared" si="1"/>
        <v/>
      </c>
      <c r="J5" s="11"/>
      <c r="K5" s="11"/>
      <c r="L5" s="11"/>
      <c r="M5" s="12" t="str">
        <f t="shared" si="2"/>
        <v/>
      </c>
    </row>
    <row r="6" spans="1:13" x14ac:dyDescent="0.2">
      <c r="A6" s="19">
        <f>IF(DAY(DATE(2026,9+1,0))&gt;=3,DATE(2026,9,3),"")</f>
        <v>46268</v>
      </c>
      <c r="B6" s="16"/>
      <c r="C6" s="16"/>
      <c r="D6" s="16"/>
      <c r="E6" s="12" t="str">
        <f t="shared" si="0"/>
        <v/>
      </c>
      <c r="F6" s="11"/>
      <c r="G6" s="11"/>
      <c r="H6" s="11"/>
      <c r="I6" s="12" t="str">
        <f t="shared" si="1"/>
        <v/>
      </c>
      <c r="J6" s="11"/>
      <c r="K6" s="11"/>
      <c r="L6" s="11"/>
      <c r="M6" s="12" t="str">
        <f t="shared" si="2"/>
        <v/>
      </c>
    </row>
    <row r="7" spans="1:13" x14ac:dyDescent="0.2">
      <c r="A7" s="19">
        <f>IF(DAY(DATE(2026,9+1,0))&gt;=4,DATE(2026,9,4),"")</f>
        <v>46269</v>
      </c>
      <c r="B7" s="16"/>
      <c r="C7" s="16"/>
      <c r="D7" s="16"/>
      <c r="E7" s="12" t="str">
        <f t="shared" si="0"/>
        <v/>
      </c>
      <c r="F7" s="11"/>
      <c r="G7" s="11"/>
      <c r="H7" s="11"/>
      <c r="I7" s="12" t="str">
        <f t="shared" si="1"/>
        <v/>
      </c>
      <c r="J7" s="11"/>
      <c r="K7" s="11"/>
      <c r="L7" s="11"/>
      <c r="M7" s="12" t="str">
        <f t="shared" si="2"/>
        <v/>
      </c>
    </row>
    <row r="8" spans="1:13" x14ac:dyDescent="0.2">
      <c r="A8" s="19">
        <f>IF(DAY(DATE(2026,9+1,0))&gt;=5,DATE(2026,9,5),"")</f>
        <v>46270</v>
      </c>
      <c r="B8" s="16"/>
      <c r="C8" s="16"/>
      <c r="D8" s="16"/>
      <c r="E8" s="12" t="str">
        <f t="shared" si="0"/>
        <v/>
      </c>
      <c r="F8" s="11"/>
      <c r="G8" s="11"/>
      <c r="H8" s="11"/>
      <c r="I8" s="12" t="str">
        <f t="shared" si="1"/>
        <v/>
      </c>
      <c r="J8" s="11"/>
      <c r="K8" s="11"/>
      <c r="L8" s="11"/>
      <c r="M8" s="12" t="str">
        <f t="shared" si="2"/>
        <v/>
      </c>
    </row>
    <row r="9" spans="1:13" x14ac:dyDescent="0.2">
      <c r="A9" s="19">
        <f>IF(DAY(DATE(2026,9+1,0))&gt;=6,DATE(2026,9,6),"")</f>
        <v>46271</v>
      </c>
      <c r="B9" s="16"/>
      <c r="C9" s="16"/>
      <c r="D9" s="16"/>
      <c r="E9" s="12" t="str">
        <f t="shared" si="0"/>
        <v/>
      </c>
      <c r="F9" s="11"/>
      <c r="G9" s="11"/>
      <c r="H9" s="11"/>
      <c r="I9" s="12" t="str">
        <f t="shared" si="1"/>
        <v/>
      </c>
      <c r="J9" s="11"/>
      <c r="K9" s="11"/>
      <c r="L9" s="11"/>
      <c r="M9" s="12" t="str">
        <f t="shared" si="2"/>
        <v/>
      </c>
    </row>
    <row r="10" spans="1:13" x14ac:dyDescent="0.2">
      <c r="A10" s="19">
        <f>IF(DAY(DATE(2026,9+1,0))&gt;=7,DATE(2026,9,7),"")</f>
        <v>46272</v>
      </c>
      <c r="B10" s="16"/>
      <c r="C10" s="16"/>
      <c r="D10" s="16"/>
      <c r="E10" s="12" t="str">
        <f t="shared" si="0"/>
        <v/>
      </c>
      <c r="F10" s="11"/>
      <c r="G10" s="11"/>
      <c r="H10" s="11"/>
      <c r="I10" s="12" t="str">
        <f t="shared" si="1"/>
        <v/>
      </c>
      <c r="J10" s="11"/>
      <c r="K10" s="11"/>
      <c r="L10" s="11"/>
      <c r="M10" s="12" t="str">
        <f t="shared" si="2"/>
        <v/>
      </c>
    </row>
    <row r="11" spans="1:13" x14ac:dyDescent="0.2">
      <c r="A11" s="19">
        <f>IF(DAY(DATE(2026,9+1,0))&gt;=8,DATE(2026,9,8),"")</f>
        <v>46273</v>
      </c>
      <c r="B11" s="16"/>
      <c r="C11" s="16"/>
      <c r="D11" s="16"/>
      <c r="E11" s="12" t="str">
        <f t="shared" si="0"/>
        <v/>
      </c>
      <c r="F11" s="11"/>
      <c r="G11" s="11"/>
      <c r="H11" s="11"/>
      <c r="I11" s="12" t="str">
        <f t="shared" si="1"/>
        <v/>
      </c>
      <c r="J11" s="11"/>
      <c r="K11" s="11"/>
      <c r="L11" s="11"/>
      <c r="M11" s="12" t="str">
        <f t="shared" si="2"/>
        <v/>
      </c>
    </row>
    <row r="12" spans="1:13" x14ac:dyDescent="0.2">
      <c r="A12" s="19">
        <f>IF(DAY(DATE(2026,9+1,0))&gt;=9,DATE(2026,9,9),"")</f>
        <v>46274</v>
      </c>
      <c r="B12" s="16"/>
      <c r="C12" s="16"/>
      <c r="D12" s="16"/>
      <c r="E12" s="12" t="str">
        <f t="shared" si="0"/>
        <v/>
      </c>
      <c r="F12" s="11"/>
      <c r="G12" s="11"/>
      <c r="H12" s="11"/>
      <c r="I12" s="12" t="str">
        <f t="shared" si="1"/>
        <v/>
      </c>
      <c r="J12" s="11"/>
      <c r="K12" s="11"/>
      <c r="L12" s="11"/>
      <c r="M12" s="12" t="str">
        <f t="shared" si="2"/>
        <v/>
      </c>
    </row>
    <row r="13" spans="1:13" x14ac:dyDescent="0.2">
      <c r="A13" s="19">
        <f>IF(DAY(DATE(2026,9+1,0))&gt;=10,DATE(2026,9,10),"")</f>
        <v>46275</v>
      </c>
      <c r="B13" s="16"/>
      <c r="C13" s="16"/>
      <c r="D13" s="16"/>
      <c r="E13" s="12" t="str">
        <f t="shared" si="0"/>
        <v/>
      </c>
      <c r="F13" s="11"/>
      <c r="G13" s="11"/>
      <c r="H13" s="11"/>
      <c r="I13" s="12" t="str">
        <f t="shared" si="1"/>
        <v/>
      </c>
      <c r="J13" s="11"/>
      <c r="K13" s="11"/>
      <c r="L13" s="11"/>
      <c r="M13" s="12" t="str">
        <f t="shared" si="2"/>
        <v/>
      </c>
    </row>
    <row r="14" spans="1:13" x14ac:dyDescent="0.2">
      <c r="A14" s="19">
        <f>IF(DAY(DATE(2026,9+1,0))&gt;=11,DATE(2026,9,11),"")</f>
        <v>46276</v>
      </c>
      <c r="B14" s="16"/>
      <c r="C14" s="16"/>
      <c r="D14" s="16"/>
      <c r="E14" s="12" t="str">
        <f t="shared" si="0"/>
        <v/>
      </c>
      <c r="F14" s="11"/>
      <c r="G14" s="11"/>
      <c r="H14" s="11"/>
      <c r="I14" s="12" t="str">
        <f t="shared" si="1"/>
        <v/>
      </c>
      <c r="J14" s="11"/>
      <c r="K14" s="11"/>
      <c r="L14" s="11"/>
      <c r="M14" s="12" t="str">
        <f t="shared" si="2"/>
        <v/>
      </c>
    </row>
    <row r="15" spans="1:13" x14ac:dyDescent="0.2">
      <c r="A15" s="19">
        <f>IF(DAY(DATE(2026,9+1,0))&gt;=12,DATE(2026,9,12),"")</f>
        <v>46277</v>
      </c>
      <c r="B15" s="16"/>
      <c r="C15" s="16"/>
      <c r="D15" s="16"/>
      <c r="E15" s="12" t="str">
        <f t="shared" si="0"/>
        <v/>
      </c>
      <c r="F15" s="11"/>
      <c r="G15" s="11"/>
      <c r="H15" s="11"/>
      <c r="I15" s="12" t="str">
        <f t="shared" si="1"/>
        <v/>
      </c>
      <c r="J15" s="11"/>
      <c r="K15" s="11"/>
      <c r="L15" s="11"/>
      <c r="M15" s="12" t="str">
        <f t="shared" si="2"/>
        <v/>
      </c>
    </row>
    <row r="16" spans="1:13" x14ac:dyDescent="0.2">
      <c r="A16" s="19">
        <f>IF(DAY(DATE(2026,9+1,0))&gt;=13,DATE(2026,9,13),"")</f>
        <v>46278</v>
      </c>
      <c r="B16" s="16"/>
      <c r="C16" s="16"/>
      <c r="D16" s="16"/>
      <c r="E16" s="12" t="str">
        <f t="shared" si="0"/>
        <v/>
      </c>
      <c r="F16" s="11"/>
      <c r="G16" s="11"/>
      <c r="H16" s="11"/>
      <c r="I16" s="12" t="str">
        <f t="shared" si="1"/>
        <v/>
      </c>
      <c r="J16" s="11"/>
      <c r="K16" s="11"/>
      <c r="L16" s="11"/>
      <c r="M16" s="12" t="str">
        <f t="shared" si="2"/>
        <v/>
      </c>
    </row>
    <row r="17" spans="1:13" x14ac:dyDescent="0.2">
      <c r="A17" s="19">
        <f>IF(DAY(DATE(2026,9+1,0))&gt;=14,DATE(2026,9,14),"")</f>
        <v>46279</v>
      </c>
      <c r="B17" s="16"/>
      <c r="C17" s="16"/>
      <c r="D17" s="16"/>
      <c r="E17" s="12" t="str">
        <f t="shared" si="0"/>
        <v/>
      </c>
      <c r="F17" s="11"/>
      <c r="G17" s="11"/>
      <c r="H17" s="11"/>
      <c r="I17" s="12" t="str">
        <f t="shared" si="1"/>
        <v/>
      </c>
      <c r="J17" s="11"/>
      <c r="K17" s="11"/>
      <c r="L17" s="11"/>
      <c r="M17" s="12" t="str">
        <f t="shared" si="2"/>
        <v/>
      </c>
    </row>
    <row r="18" spans="1:13" x14ac:dyDescent="0.2">
      <c r="A18" s="19">
        <f>IF(DAY(DATE(2026,9+1,0))&gt;=15,DATE(2026,9,15),"")</f>
        <v>46280</v>
      </c>
      <c r="B18" s="16"/>
      <c r="C18" s="16"/>
      <c r="D18" s="16"/>
      <c r="E18" s="12" t="str">
        <f t="shared" si="0"/>
        <v/>
      </c>
      <c r="F18" s="11"/>
      <c r="G18" s="11"/>
      <c r="H18" s="11"/>
      <c r="I18" s="12" t="str">
        <f t="shared" si="1"/>
        <v/>
      </c>
      <c r="J18" s="11"/>
      <c r="K18" s="11"/>
      <c r="L18" s="11"/>
      <c r="M18" s="12" t="str">
        <f t="shared" si="2"/>
        <v/>
      </c>
    </row>
    <row r="19" spans="1:13" x14ac:dyDescent="0.2">
      <c r="A19" s="19">
        <f>IF(DAY(DATE(2026,9+1,0))&gt;=16,DATE(2026,9,16),"")</f>
        <v>46281</v>
      </c>
      <c r="B19" s="16"/>
      <c r="C19" s="16"/>
      <c r="D19" s="16"/>
      <c r="E19" s="12" t="str">
        <f t="shared" si="0"/>
        <v/>
      </c>
      <c r="F19" s="11"/>
      <c r="G19" s="11"/>
      <c r="H19" s="11"/>
      <c r="I19" s="12" t="str">
        <f t="shared" si="1"/>
        <v/>
      </c>
      <c r="J19" s="11"/>
      <c r="K19" s="11"/>
      <c r="L19" s="11"/>
      <c r="M19" s="12" t="str">
        <f t="shared" si="2"/>
        <v/>
      </c>
    </row>
    <row r="20" spans="1:13" x14ac:dyDescent="0.2">
      <c r="A20" s="19">
        <f>IF(DAY(DATE(2026,9+1,0))&gt;=17,DATE(2026,9,17),"")</f>
        <v>46282</v>
      </c>
      <c r="B20" s="16"/>
      <c r="C20" s="16"/>
      <c r="D20" s="16"/>
      <c r="E20" s="12" t="str">
        <f t="shared" si="0"/>
        <v/>
      </c>
      <c r="F20" s="11"/>
      <c r="G20" s="11"/>
      <c r="H20" s="11"/>
      <c r="I20" s="12" t="str">
        <f t="shared" si="1"/>
        <v/>
      </c>
      <c r="J20" s="11"/>
      <c r="K20" s="11"/>
      <c r="L20" s="11"/>
      <c r="M20" s="12" t="str">
        <f t="shared" si="2"/>
        <v/>
      </c>
    </row>
    <row r="21" spans="1:13" x14ac:dyDescent="0.2">
      <c r="A21" s="19">
        <f>IF(DAY(DATE(2026,9+1,0))&gt;=18,DATE(2026,9,18),"")</f>
        <v>46283</v>
      </c>
      <c r="B21" s="16"/>
      <c r="C21" s="16"/>
      <c r="D21" s="16"/>
      <c r="E21" s="12" t="str">
        <f t="shared" si="0"/>
        <v/>
      </c>
      <c r="F21" s="11"/>
      <c r="G21" s="11"/>
      <c r="H21" s="11"/>
      <c r="I21" s="12" t="str">
        <f t="shared" si="1"/>
        <v/>
      </c>
      <c r="J21" s="11"/>
      <c r="K21" s="11"/>
      <c r="L21" s="11"/>
      <c r="M21" s="12" t="str">
        <f t="shared" si="2"/>
        <v/>
      </c>
    </row>
    <row r="22" spans="1:13" x14ac:dyDescent="0.2">
      <c r="A22" s="19">
        <f>IF(DAY(DATE(2026,9+1,0))&gt;=19,DATE(2026,9,19),"")</f>
        <v>46284</v>
      </c>
      <c r="B22" s="16"/>
      <c r="C22" s="16"/>
      <c r="D22" s="16"/>
      <c r="E22" s="12" t="str">
        <f t="shared" si="0"/>
        <v/>
      </c>
      <c r="F22" s="11"/>
      <c r="G22" s="11"/>
      <c r="H22" s="11"/>
      <c r="I22" s="12" t="str">
        <f t="shared" si="1"/>
        <v/>
      </c>
      <c r="J22" s="11"/>
      <c r="K22" s="11"/>
      <c r="L22" s="11"/>
      <c r="M22" s="12" t="str">
        <f t="shared" si="2"/>
        <v/>
      </c>
    </row>
    <row r="23" spans="1:13" x14ac:dyDescent="0.2">
      <c r="A23" s="19">
        <f>IF(DAY(DATE(2026,9+1,0))&gt;=20,DATE(2026,9,20),"")</f>
        <v>46285</v>
      </c>
      <c r="B23" s="16"/>
      <c r="C23" s="16"/>
      <c r="D23" s="16"/>
      <c r="E23" s="12" t="str">
        <f t="shared" si="0"/>
        <v/>
      </c>
      <c r="F23" s="11"/>
      <c r="G23" s="11"/>
      <c r="H23" s="11"/>
      <c r="I23" s="12" t="str">
        <f t="shared" si="1"/>
        <v/>
      </c>
      <c r="J23" s="11"/>
      <c r="K23" s="11"/>
      <c r="L23" s="11"/>
      <c r="M23" s="12" t="str">
        <f t="shared" si="2"/>
        <v/>
      </c>
    </row>
    <row r="24" spans="1:13" x14ac:dyDescent="0.2">
      <c r="A24" s="19">
        <f>IF(DAY(DATE(2026,9+1,0))&gt;=21,DATE(2026,9,21),"")</f>
        <v>46286</v>
      </c>
      <c r="B24" s="16"/>
      <c r="C24" s="16"/>
      <c r="D24" s="16"/>
      <c r="E24" s="12" t="str">
        <f t="shared" si="0"/>
        <v/>
      </c>
      <c r="F24" s="11"/>
      <c r="G24" s="11"/>
      <c r="H24" s="11"/>
      <c r="I24" s="12" t="str">
        <f t="shared" si="1"/>
        <v/>
      </c>
      <c r="J24" s="11"/>
      <c r="K24" s="11"/>
      <c r="L24" s="11"/>
      <c r="M24" s="12" t="str">
        <f t="shared" si="2"/>
        <v/>
      </c>
    </row>
    <row r="25" spans="1:13" x14ac:dyDescent="0.2">
      <c r="A25" s="19">
        <f>IF(DAY(DATE(2026,9+1,0))&gt;=22,DATE(2026,9,22),"")</f>
        <v>46287</v>
      </c>
      <c r="B25" s="16"/>
      <c r="C25" s="16"/>
      <c r="D25" s="16"/>
      <c r="E25" s="12" t="str">
        <f t="shared" si="0"/>
        <v/>
      </c>
      <c r="F25" s="11"/>
      <c r="G25" s="11"/>
      <c r="H25" s="11"/>
      <c r="I25" s="12" t="str">
        <f t="shared" si="1"/>
        <v/>
      </c>
      <c r="J25" s="11"/>
      <c r="K25" s="11"/>
      <c r="L25" s="11"/>
      <c r="M25" s="12" t="str">
        <f t="shared" si="2"/>
        <v/>
      </c>
    </row>
    <row r="26" spans="1:13" x14ac:dyDescent="0.2">
      <c r="A26" s="19">
        <f>IF(DAY(DATE(2026,9+1,0))&gt;=23,DATE(2026,9,23),"")</f>
        <v>46288</v>
      </c>
      <c r="B26" s="16"/>
      <c r="C26" s="16"/>
      <c r="D26" s="16"/>
      <c r="E26" s="12" t="str">
        <f t="shared" si="0"/>
        <v/>
      </c>
      <c r="F26" s="11"/>
      <c r="G26" s="11"/>
      <c r="H26" s="11"/>
      <c r="I26" s="12" t="str">
        <f t="shared" si="1"/>
        <v/>
      </c>
      <c r="J26" s="11"/>
      <c r="K26" s="11"/>
      <c r="L26" s="11"/>
      <c r="M26" s="12" t="str">
        <f t="shared" si="2"/>
        <v/>
      </c>
    </row>
    <row r="27" spans="1:13" x14ac:dyDescent="0.2">
      <c r="A27" s="19">
        <f>IF(DAY(DATE(2026,9+1,0))&gt;=24,DATE(2026,9,24),"")</f>
        <v>46289</v>
      </c>
      <c r="B27" s="16"/>
      <c r="C27" s="16"/>
      <c r="D27" s="16"/>
      <c r="E27" s="12" t="str">
        <f t="shared" si="0"/>
        <v/>
      </c>
      <c r="F27" s="11"/>
      <c r="G27" s="11"/>
      <c r="H27" s="11"/>
      <c r="I27" s="12" t="str">
        <f t="shared" si="1"/>
        <v/>
      </c>
      <c r="J27" s="11"/>
      <c r="K27" s="11"/>
      <c r="L27" s="11"/>
      <c r="M27" s="12" t="str">
        <f t="shared" si="2"/>
        <v/>
      </c>
    </row>
    <row r="28" spans="1:13" x14ac:dyDescent="0.2">
      <c r="A28" s="19">
        <f>IF(DAY(DATE(2026,9+1,0))&gt;=25,DATE(2026,9,25),"")</f>
        <v>46290</v>
      </c>
      <c r="B28" s="16"/>
      <c r="C28" s="16"/>
      <c r="D28" s="16"/>
      <c r="E28" s="12" t="str">
        <f t="shared" si="0"/>
        <v/>
      </c>
      <c r="F28" s="11"/>
      <c r="G28" s="11"/>
      <c r="H28" s="11"/>
      <c r="I28" s="12" t="str">
        <f t="shared" si="1"/>
        <v/>
      </c>
      <c r="J28" s="11"/>
      <c r="K28" s="11"/>
      <c r="L28" s="11"/>
      <c r="M28" s="12" t="str">
        <f t="shared" si="2"/>
        <v/>
      </c>
    </row>
    <row r="29" spans="1:13" x14ac:dyDescent="0.2">
      <c r="A29" s="19">
        <f>IF(DAY(DATE(2026,9+1,0))&gt;=26,DATE(2026,9,26),"")</f>
        <v>46291</v>
      </c>
      <c r="B29" s="16"/>
      <c r="C29" s="16"/>
      <c r="D29" s="16"/>
      <c r="E29" s="12" t="str">
        <f t="shared" si="0"/>
        <v/>
      </c>
      <c r="F29" s="11"/>
      <c r="G29" s="11"/>
      <c r="H29" s="11"/>
      <c r="I29" s="12" t="str">
        <f t="shared" si="1"/>
        <v/>
      </c>
      <c r="J29" s="11"/>
      <c r="K29" s="11"/>
      <c r="L29" s="11"/>
      <c r="M29" s="12" t="str">
        <f t="shared" si="2"/>
        <v/>
      </c>
    </row>
    <row r="30" spans="1:13" x14ac:dyDescent="0.2">
      <c r="A30" s="19">
        <f>IF(DAY(DATE(2026,9+1,0))&gt;=27,DATE(2026,9,27),"")</f>
        <v>46292</v>
      </c>
      <c r="B30" s="16"/>
      <c r="C30" s="16"/>
      <c r="D30" s="16"/>
      <c r="E30" s="12" t="str">
        <f t="shared" si="0"/>
        <v/>
      </c>
      <c r="F30" s="11"/>
      <c r="G30" s="11"/>
      <c r="H30" s="11"/>
      <c r="I30" s="12" t="str">
        <f t="shared" si="1"/>
        <v/>
      </c>
      <c r="J30" s="11"/>
      <c r="K30" s="11"/>
      <c r="L30" s="11"/>
      <c r="M30" s="12" t="str">
        <f t="shared" si="2"/>
        <v/>
      </c>
    </row>
    <row r="31" spans="1:13" x14ac:dyDescent="0.2">
      <c r="A31" s="19">
        <f>IF(DAY(DATE(2026,9+1,0))&gt;=28,DATE(2026,9,28),"")</f>
        <v>46293</v>
      </c>
      <c r="B31" s="16"/>
      <c r="C31" s="16"/>
      <c r="D31" s="16"/>
      <c r="E31" s="12" t="str">
        <f t="shared" si="0"/>
        <v/>
      </c>
      <c r="F31" s="11"/>
      <c r="G31" s="11"/>
      <c r="H31" s="11"/>
      <c r="I31" s="12" t="str">
        <f t="shared" si="1"/>
        <v/>
      </c>
      <c r="J31" s="11"/>
      <c r="K31" s="11"/>
      <c r="L31" s="11"/>
      <c r="M31" s="12" t="str">
        <f t="shared" si="2"/>
        <v/>
      </c>
    </row>
    <row r="32" spans="1:13" x14ac:dyDescent="0.2">
      <c r="A32" s="19">
        <f>IF(DAY(DATE(2026,9+1,0))&gt;=29,DATE(2026,9,29),"")</f>
        <v>46294</v>
      </c>
      <c r="B32" s="16"/>
      <c r="C32" s="16"/>
      <c r="D32" s="16"/>
      <c r="E32" s="12" t="str">
        <f t="shared" si="0"/>
        <v/>
      </c>
      <c r="F32" s="11"/>
      <c r="G32" s="11"/>
      <c r="H32" s="11"/>
      <c r="I32" s="12" t="str">
        <f t="shared" si="1"/>
        <v/>
      </c>
      <c r="J32" s="11"/>
      <c r="K32" s="11"/>
      <c r="L32" s="11"/>
      <c r="M32" s="12" t="str">
        <f t="shared" si="2"/>
        <v/>
      </c>
    </row>
    <row r="33" spans="1:13" x14ac:dyDescent="0.2">
      <c r="A33" s="19">
        <f>IF(DAY(DATE(2026,9+1,0))&gt;=30,DATE(2026,9,30),"")</f>
        <v>46295</v>
      </c>
      <c r="B33" s="16"/>
      <c r="C33" s="16"/>
      <c r="D33" s="16"/>
      <c r="E33" s="12" t="str">
        <f t="shared" si="0"/>
        <v/>
      </c>
      <c r="F33" s="11"/>
      <c r="G33" s="11"/>
      <c r="H33" s="11"/>
      <c r="I33" s="12" t="str">
        <f t="shared" si="1"/>
        <v/>
      </c>
      <c r="J33" s="11"/>
      <c r="K33" s="11"/>
      <c r="L33" s="11"/>
      <c r="M33" s="12" t="str">
        <f t="shared" si="2"/>
        <v/>
      </c>
    </row>
    <row r="34" spans="1:13" x14ac:dyDescent="0.2">
      <c r="A34" s="19" t="str">
        <f>IF(DAY(DATE(2026,9+1,0))&gt;=31,DATE(2026,9,31),"")</f>
        <v/>
      </c>
      <c r="B34" s="16"/>
      <c r="C34" s="16"/>
      <c r="D34" s="16"/>
      <c r="E34" s="12" t="str">
        <f t="shared" si="0"/>
        <v/>
      </c>
      <c r="F34" s="11"/>
      <c r="G34" s="11"/>
      <c r="H34" s="11"/>
      <c r="I34" s="12" t="str">
        <f t="shared" si="1"/>
        <v/>
      </c>
      <c r="J34" s="11"/>
      <c r="K34" s="11"/>
      <c r="L34" s="11"/>
      <c r="M34" s="12" t="str">
        <f t="shared" si="2"/>
        <v/>
      </c>
    </row>
  </sheetData>
  <sheetProtection password="CB1D" sheet="1"/>
  <conditionalFormatting sqref="B4:D34">
    <cfRule type="expression" dxfId="107" priority="23">
      <formula>$E4="Hypertonie Grad 3"</formula>
    </cfRule>
    <cfRule type="expression" dxfId="106" priority="22">
      <formula>$E4="Hypertonie Grad 2"</formula>
    </cfRule>
  </conditionalFormatting>
  <conditionalFormatting sqref="E4:E34">
    <cfRule type="expression" dxfId="105" priority="1">
      <formula>$E4="Zu niedrig"</formula>
    </cfRule>
    <cfRule type="expression" dxfId="104" priority="2">
      <formula>$E4="Optimal"</formula>
    </cfRule>
    <cfRule type="expression" dxfId="103" priority="3">
      <formula>$E4="Normal"</formula>
    </cfRule>
    <cfRule type="expression" dxfId="102" priority="4">
      <formula>$E4="Hoch-normal"</formula>
    </cfRule>
    <cfRule type="expression" dxfId="101" priority="5">
      <formula>$E4="Hypertonie Grad 1"</formula>
    </cfRule>
    <cfRule type="expression" dxfId="100" priority="6">
      <formula>$E4="Hypertonie Grad 2"</formula>
    </cfRule>
    <cfRule type="expression" dxfId="99" priority="7">
      <formula>$E4="Hypertonie Grad 3"</formula>
    </cfRule>
  </conditionalFormatting>
  <conditionalFormatting sqref="F4:H34">
    <cfRule type="expression" dxfId="98" priority="25">
      <formula>$I4="Hypertonie Grad 3"</formula>
    </cfRule>
    <cfRule type="expression" dxfId="97" priority="24">
      <formula>$I4="Hypertonie Grad 2"</formula>
    </cfRule>
  </conditionalFormatting>
  <conditionalFormatting sqref="I4:I34">
    <cfRule type="expression" dxfId="96" priority="14">
      <formula>$I4="Hypertonie Grad 3"</formula>
    </cfRule>
    <cfRule type="expression" dxfId="95" priority="13">
      <formula>$I4="Hypertonie Grad 2"</formula>
    </cfRule>
    <cfRule type="expression" dxfId="94" priority="12">
      <formula>$I4="Hypertonie Grad 1"</formula>
    </cfRule>
    <cfRule type="expression" dxfId="93" priority="11">
      <formula>$I4="Hoch-normal"</formula>
    </cfRule>
    <cfRule type="expression" dxfId="92" priority="10">
      <formula>$I4="Normal"</formula>
    </cfRule>
    <cfRule type="expression" dxfId="91" priority="9">
      <formula>$I4="Optimal"</formula>
    </cfRule>
    <cfRule type="expression" dxfId="90" priority="8">
      <formula>$I4="Zu niedrig"</formula>
    </cfRule>
  </conditionalFormatting>
  <conditionalFormatting sqref="J4:L34">
    <cfRule type="expression" dxfId="89" priority="26">
      <formula>$M4="Hypertonie Grad 2"</formula>
    </cfRule>
    <cfRule type="expression" dxfId="88" priority="27">
      <formula>$M4="Hypertonie Grad 3"</formula>
    </cfRule>
  </conditionalFormatting>
  <conditionalFormatting sqref="M4:M34">
    <cfRule type="expression" dxfId="87" priority="15">
      <formula>$M4="Zu niedrig"</formula>
    </cfRule>
    <cfRule type="expression" dxfId="86" priority="16">
      <formula>$M4="Optimal"</formula>
    </cfRule>
    <cfRule type="expression" dxfId="85" priority="17">
      <formula>$M4="Normal"</formula>
    </cfRule>
    <cfRule type="expression" dxfId="84" priority="18">
      <formula>$M4="Hoch-normal"</formula>
    </cfRule>
    <cfRule type="expression" dxfId="83" priority="19">
      <formula>$M4="Hypertonie Grad 1"</formula>
    </cfRule>
    <cfRule type="expression" dxfId="82" priority="20">
      <formula>$M4="Hypertonie Grad 2"</formula>
    </cfRule>
    <cfRule type="expression" dxfId="81" priority="21">
      <formula>$M4="Hypertonie Grad 3"</formula>
    </cfRule>
  </conditionalFormatting>
  <printOptions horizontalCentered="1"/>
  <pageMargins left="0.4" right="0.4" top="0.6" bottom="0.6" header="0.5" footer="0.5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34"/>
  <sheetViews>
    <sheetView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2" customWidth="1"/>
    <col min="2" max="2" width="9" customWidth="1"/>
    <col min="3" max="3" width="10" customWidth="1"/>
    <col min="4" max="4" width="8" customWidth="1"/>
    <col min="5" max="5" width="15" customWidth="1"/>
    <col min="6" max="6" width="16" customWidth="1"/>
    <col min="7" max="7" width="10" customWidth="1"/>
    <col min="8" max="8" width="8" customWidth="1"/>
    <col min="9" max="9" width="15" customWidth="1"/>
    <col min="10" max="10" width="9" customWidth="1"/>
    <col min="11" max="11" width="10" customWidth="1"/>
    <col min="12" max="12" width="8" customWidth="1"/>
    <col min="13" max="13" width="15" customWidth="1"/>
  </cols>
  <sheetData>
    <row r="1" spans="1:13" x14ac:dyDescent="0.2">
      <c r="A1" s="10" t="s">
        <v>56</v>
      </c>
      <c r="B1" s="11">
        <v>2026</v>
      </c>
      <c r="D1" s="10" t="s">
        <v>31</v>
      </c>
      <c r="E1" s="11">
        <v>10</v>
      </c>
    </row>
    <row r="2" spans="1:13" x14ac:dyDescent="0.2">
      <c r="B2" s="13" t="str">
        <f>IF(Jahresübersicht!A6="","",Jahresübersicht!A6)</f>
        <v/>
      </c>
      <c r="D2" s="13" t="str">
        <f>IF(Jahresübersicht!C6="","",Jahresübersicht!C6)</f>
        <v/>
      </c>
      <c r="F2" s="14" t="str">
        <f>IF(Jahresübersicht!E6="","",Jahresübersicht!E6)</f>
        <v/>
      </c>
      <c r="H2" s="18"/>
      <c r="I2" s="15" t="s">
        <v>57</v>
      </c>
    </row>
    <row r="3" spans="1:13" ht="16" x14ac:dyDescent="0.2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7" t="s">
        <v>63</v>
      </c>
      <c r="G3" s="17" t="s">
        <v>64</v>
      </c>
      <c r="H3" s="17" t="s">
        <v>65</v>
      </c>
      <c r="I3" s="1" t="s">
        <v>66</v>
      </c>
      <c r="J3" s="17" t="s">
        <v>67</v>
      </c>
      <c r="K3" s="17" t="s">
        <v>68</v>
      </c>
      <c r="L3" s="17" t="s">
        <v>69</v>
      </c>
      <c r="M3" s="1" t="s">
        <v>70</v>
      </c>
    </row>
    <row r="4" spans="1:13" x14ac:dyDescent="0.2">
      <c r="A4" s="19">
        <f>IF(DAY(DATE(2026,10+1,0))&gt;=1,DATE(2026,10,1),"")</f>
        <v>46296</v>
      </c>
      <c r="B4" s="16"/>
      <c r="C4" s="16"/>
      <c r="D4" s="16"/>
      <c r="E4" s="12" t="str">
        <f t="shared" ref="E4:E34" si="0">IF(OR(B4="",C4=""),"",IF(OR(B4&lt;90,C4&lt;60),"Zu niedrig",IF(AND(B4&lt;120,C4&lt;80),"Optimal",IF(AND(B4&lt;130,C4&lt;85),"Normal",IF(AND(B4&lt;140,C4&lt;90),"Hoch-normal",IF(AND(B4&lt;160,C4&lt;100),"Hypertonie Grad 1",IF(AND(B4&lt;180,C4&lt;110),"Hypertonie Grad 2","Hypertonie Grad 3")))))))</f>
        <v/>
      </c>
      <c r="F4" s="11"/>
      <c r="G4" s="11"/>
      <c r="H4" s="11"/>
      <c r="I4" s="12" t="str">
        <f t="shared" ref="I4:I34" si="1">IF(OR(F4="",G4=""),"",IF(OR(F4&lt;90,G4&lt;60),"Zu niedrig",IF(AND(F4&lt;120,G4&lt;80),"Optimal",IF(AND(F4&lt;130,G4&lt;85),"Normal",IF(AND(F4&lt;140,G4&lt;90),"Hoch-normal",IF(AND(F4&lt;160,G4&lt;100),"Hypertonie Grad 1",IF(AND(F4&lt;180,G4&lt;110),"Hypertonie Grad 2","Hypertonie Grad 3")))))))</f>
        <v/>
      </c>
      <c r="J4" s="11"/>
      <c r="K4" s="11"/>
      <c r="L4" s="11"/>
      <c r="M4" s="12" t="str">
        <f t="shared" ref="M4:M34" si="2">IF(OR(J4="",K4=""),"",IF(OR(J4&lt;90,K4&lt;60),"Zu niedrig",IF(AND(J4&lt;120,K4&lt;80),"Optimal",IF(AND(J4&lt;130,K4&lt;85),"Normal",IF(AND(J4&lt;140,K4&lt;90),"Hoch-normal",IF(AND(J4&lt;160,K4&lt;100),"Hypertonie Grad 1",IF(AND(J4&lt;180,K4&lt;110),"Hypertonie Grad 2","Hypertonie Grad 3")))))))</f>
        <v/>
      </c>
    </row>
    <row r="5" spans="1:13" x14ac:dyDescent="0.2">
      <c r="A5" s="19">
        <f>IF(DAY(DATE(2026,10+1,0))&gt;=2,DATE(2026,10,2),"")</f>
        <v>46297</v>
      </c>
      <c r="B5" s="16"/>
      <c r="C5" s="16"/>
      <c r="D5" s="16"/>
      <c r="E5" s="12" t="str">
        <f t="shared" si="0"/>
        <v/>
      </c>
      <c r="F5" s="11"/>
      <c r="G5" s="11"/>
      <c r="H5" s="11"/>
      <c r="I5" s="12" t="str">
        <f t="shared" si="1"/>
        <v/>
      </c>
      <c r="J5" s="11"/>
      <c r="K5" s="11"/>
      <c r="L5" s="11"/>
      <c r="M5" s="12" t="str">
        <f t="shared" si="2"/>
        <v/>
      </c>
    </row>
    <row r="6" spans="1:13" x14ac:dyDescent="0.2">
      <c r="A6" s="19">
        <f>IF(DAY(DATE(2026,10+1,0))&gt;=3,DATE(2026,10,3),"")</f>
        <v>46298</v>
      </c>
      <c r="B6" s="16"/>
      <c r="C6" s="16"/>
      <c r="D6" s="16"/>
      <c r="E6" s="12" t="str">
        <f t="shared" si="0"/>
        <v/>
      </c>
      <c r="F6" s="11"/>
      <c r="G6" s="11"/>
      <c r="H6" s="11"/>
      <c r="I6" s="12" t="str">
        <f t="shared" si="1"/>
        <v/>
      </c>
      <c r="J6" s="11"/>
      <c r="K6" s="11"/>
      <c r="L6" s="11"/>
      <c r="M6" s="12" t="str">
        <f t="shared" si="2"/>
        <v/>
      </c>
    </row>
    <row r="7" spans="1:13" x14ac:dyDescent="0.2">
      <c r="A7" s="19">
        <f>IF(DAY(DATE(2026,10+1,0))&gt;=4,DATE(2026,10,4),"")</f>
        <v>46299</v>
      </c>
      <c r="B7" s="16"/>
      <c r="C7" s="16"/>
      <c r="D7" s="16"/>
      <c r="E7" s="12" t="str">
        <f t="shared" si="0"/>
        <v/>
      </c>
      <c r="F7" s="11"/>
      <c r="G7" s="11"/>
      <c r="H7" s="11"/>
      <c r="I7" s="12" t="str">
        <f t="shared" si="1"/>
        <v/>
      </c>
      <c r="J7" s="11"/>
      <c r="K7" s="11"/>
      <c r="L7" s="11"/>
      <c r="M7" s="12" t="str">
        <f t="shared" si="2"/>
        <v/>
      </c>
    </row>
    <row r="8" spans="1:13" x14ac:dyDescent="0.2">
      <c r="A8" s="19">
        <f>IF(DAY(DATE(2026,10+1,0))&gt;=5,DATE(2026,10,5),"")</f>
        <v>46300</v>
      </c>
      <c r="B8" s="16"/>
      <c r="C8" s="16"/>
      <c r="D8" s="16"/>
      <c r="E8" s="12" t="str">
        <f t="shared" si="0"/>
        <v/>
      </c>
      <c r="F8" s="11"/>
      <c r="G8" s="11"/>
      <c r="H8" s="11"/>
      <c r="I8" s="12" t="str">
        <f t="shared" si="1"/>
        <v/>
      </c>
      <c r="J8" s="11"/>
      <c r="K8" s="11"/>
      <c r="L8" s="11"/>
      <c r="M8" s="12" t="str">
        <f t="shared" si="2"/>
        <v/>
      </c>
    </row>
    <row r="9" spans="1:13" x14ac:dyDescent="0.2">
      <c r="A9" s="19">
        <f>IF(DAY(DATE(2026,10+1,0))&gt;=6,DATE(2026,10,6),"")</f>
        <v>46301</v>
      </c>
      <c r="B9" s="16"/>
      <c r="C9" s="16"/>
      <c r="D9" s="16"/>
      <c r="E9" s="12" t="str">
        <f t="shared" si="0"/>
        <v/>
      </c>
      <c r="F9" s="11"/>
      <c r="G9" s="11"/>
      <c r="H9" s="11"/>
      <c r="I9" s="12" t="str">
        <f t="shared" si="1"/>
        <v/>
      </c>
      <c r="J9" s="11"/>
      <c r="K9" s="11"/>
      <c r="L9" s="11"/>
      <c r="M9" s="12" t="str">
        <f t="shared" si="2"/>
        <v/>
      </c>
    </row>
    <row r="10" spans="1:13" x14ac:dyDescent="0.2">
      <c r="A10" s="19">
        <f>IF(DAY(DATE(2026,10+1,0))&gt;=7,DATE(2026,10,7),"")</f>
        <v>46302</v>
      </c>
      <c r="B10" s="16"/>
      <c r="C10" s="16"/>
      <c r="D10" s="16"/>
      <c r="E10" s="12" t="str">
        <f t="shared" si="0"/>
        <v/>
      </c>
      <c r="F10" s="11"/>
      <c r="G10" s="11"/>
      <c r="H10" s="11"/>
      <c r="I10" s="12" t="str">
        <f t="shared" si="1"/>
        <v/>
      </c>
      <c r="J10" s="11"/>
      <c r="K10" s="11"/>
      <c r="L10" s="11"/>
      <c r="M10" s="12" t="str">
        <f t="shared" si="2"/>
        <v/>
      </c>
    </row>
    <row r="11" spans="1:13" x14ac:dyDescent="0.2">
      <c r="A11" s="19">
        <f>IF(DAY(DATE(2026,10+1,0))&gt;=8,DATE(2026,10,8),"")</f>
        <v>46303</v>
      </c>
      <c r="B11" s="16"/>
      <c r="C11" s="16"/>
      <c r="D11" s="16"/>
      <c r="E11" s="12" t="str">
        <f t="shared" si="0"/>
        <v/>
      </c>
      <c r="F11" s="11"/>
      <c r="G11" s="11"/>
      <c r="H11" s="11"/>
      <c r="I11" s="12" t="str">
        <f t="shared" si="1"/>
        <v/>
      </c>
      <c r="J11" s="11"/>
      <c r="K11" s="11"/>
      <c r="L11" s="11"/>
      <c r="M11" s="12" t="str">
        <f t="shared" si="2"/>
        <v/>
      </c>
    </row>
    <row r="12" spans="1:13" x14ac:dyDescent="0.2">
      <c r="A12" s="19">
        <f>IF(DAY(DATE(2026,10+1,0))&gt;=9,DATE(2026,10,9),"")</f>
        <v>46304</v>
      </c>
      <c r="B12" s="16"/>
      <c r="C12" s="16"/>
      <c r="D12" s="16"/>
      <c r="E12" s="12" t="str">
        <f t="shared" si="0"/>
        <v/>
      </c>
      <c r="F12" s="11"/>
      <c r="G12" s="11"/>
      <c r="H12" s="11"/>
      <c r="I12" s="12" t="str">
        <f t="shared" si="1"/>
        <v/>
      </c>
      <c r="J12" s="11"/>
      <c r="K12" s="11"/>
      <c r="L12" s="11"/>
      <c r="M12" s="12" t="str">
        <f t="shared" si="2"/>
        <v/>
      </c>
    </row>
    <row r="13" spans="1:13" x14ac:dyDescent="0.2">
      <c r="A13" s="19">
        <f>IF(DAY(DATE(2026,10+1,0))&gt;=10,DATE(2026,10,10),"")</f>
        <v>46305</v>
      </c>
      <c r="B13" s="16"/>
      <c r="C13" s="16"/>
      <c r="D13" s="16"/>
      <c r="E13" s="12" t="str">
        <f t="shared" si="0"/>
        <v/>
      </c>
      <c r="F13" s="11"/>
      <c r="G13" s="11"/>
      <c r="H13" s="11"/>
      <c r="I13" s="12" t="str">
        <f t="shared" si="1"/>
        <v/>
      </c>
      <c r="J13" s="11"/>
      <c r="K13" s="11"/>
      <c r="L13" s="11"/>
      <c r="M13" s="12" t="str">
        <f t="shared" si="2"/>
        <v/>
      </c>
    </row>
    <row r="14" spans="1:13" x14ac:dyDescent="0.2">
      <c r="A14" s="19">
        <f>IF(DAY(DATE(2026,10+1,0))&gt;=11,DATE(2026,10,11),"")</f>
        <v>46306</v>
      </c>
      <c r="B14" s="16"/>
      <c r="C14" s="16"/>
      <c r="D14" s="16"/>
      <c r="E14" s="12" t="str">
        <f t="shared" si="0"/>
        <v/>
      </c>
      <c r="F14" s="11"/>
      <c r="G14" s="11"/>
      <c r="H14" s="11"/>
      <c r="I14" s="12" t="str">
        <f t="shared" si="1"/>
        <v/>
      </c>
      <c r="J14" s="11"/>
      <c r="K14" s="11"/>
      <c r="L14" s="11"/>
      <c r="M14" s="12" t="str">
        <f t="shared" si="2"/>
        <v/>
      </c>
    </row>
    <row r="15" spans="1:13" x14ac:dyDescent="0.2">
      <c r="A15" s="19">
        <f>IF(DAY(DATE(2026,10+1,0))&gt;=12,DATE(2026,10,12),"")</f>
        <v>46307</v>
      </c>
      <c r="B15" s="16"/>
      <c r="C15" s="16"/>
      <c r="D15" s="16"/>
      <c r="E15" s="12" t="str">
        <f t="shared" si="0"/>
        <v/>
      </c>
      <c r="F15" s="11"/>
      <c r="G15" s="11"/>
      <c r="H15" s="11"/>
      <c r="I15" s="12" t="str">
        <f t="shared" si="1"/>
        <v/>
      </c>
      <c r="J15" s="11"/>
      <c r="K15" s="11"/>
      <c r="L15" s="11"/>
      <c r="M15" s="12" t="str">
        <f t="shared" si="2"/>
        <v/>
      </c>
    </row>
    <row r="16" spans="1:13" x14ac:dyDescent="0.2">
      <c r="A16" s="19">
        <f>IF(DAY(DATE(2026,10+1,0))&gt;=13,DATE(2026,10,13),"")</f>
        <v>46308</v>
      </c>
      <c r="B16" s="16"/>
      <c r="C16" s="16"/>
      <c r="D16" s="16"/>
      <c r="E16" s="12" t="str">
        <f t="shared" si="0"/>
        <v/>
      </c>
      <c r="F16" s="11"/>
      <c r="G16" s="11"/>
      <c r="H16" s="11"/>
      <c r="I16" s="12" t="str">
        <f t="shared" si="1"/>
        <v/>
      </c>
      <c r="J16" s="11"/>
      <c r="K16" s="11"/>
      <c r="L16" s="11"/>
      <c r="M16" s="12" t="str">
        <f t="shared" si="2"/>
        <v/>
      </c>
    </row>
    <row r="17" spans="1:13" x14ac:dyDescent="0.2">
      <c r="A17" s="19">
        <f>IF(DAY(DATE(2026,10+1,0))&gt;=14,DATE(2026,10,14),"")</f>
        <v>46309</v>
      </c>
      <c r="B17" s="16"/>
      <c r="C17" s="16"/>
      <c r="D17" s="16"/>
      <c r="E17" s="12" t="str">
        <f t="shared" si="0"/>
        <v/>
      </c>
      <c r="F17" s="11"/>
      <c r="G17" s="11"/>
      <c r="H17" s="11"/>
      <c r="I17" s="12" t="str">
        <f t="shared" si="1"/>
        <v/>
      </c>
      <c r="J17" s="11"/>
      <c r="K17" s="11"/>
      <c r="L17" s="11"/>
      <c r="M17" s="12" t="str">
        <f t="shared" si="2"/>
        <v/>
      </c>
    </row>
    <row r="18" spans="1:13" x14ac:dyDescent="0.2">
      <c r="A18" s="19">
        <f>IF(DAY(DATE(2026,10+1,0))&gt;=15,DATE(2026,10,15),"")</f>
        <v>46310</v>
      </c>
      <c r="B18" s="16"/>
      <c r="C18" s="16"/>
      <c r="D18" s="16"/>
      <c r="E18" s="12" t="str">
        <f t="shared" si="0"/>
        <v/>
      </c>
      <c r="F18" s="11"/>
      <c r="G18" s="11"/>
      <c r="H18" s="11"/>
      <c r="I18" s="12" t="str">
        <f t="shared" si="1"/>
        <v/>
      </c>
      <c r="J18" s="11"/>
      <c r="K18" s="11"/>
      <c r="L18" s="11"/>
      <c r="M18" s="12" t="str">
        <f t="shared" si="2"/>
        <v/>
      </c>
    </row>
    <row r="19" spans="1:13" x14ac:dyDescent="0.2">
      <c r="A19" s="19">
        <f>IF(DAY(DATE(2026,10+1,0))&gt;=16,DATE(2026,10,16),"")</f>
        <v>46311</v>
      </c>
      <c r="B19" s="16"/>
      <c r="C19" s="16"/>
      <c r="D19" s="16"/>
      <c r="E19" s="12" t="str">
        <f t="shared" si="0"/>
        <v/>
      </c>
      <c r="F19" s="11"/>
      <c r="G19" s="11"/>
      <c r="H19" s="11"/>
      <c r="I19" s="12" t="str">
        <f t="shared" si="1"/>
        <v/>
      </c>
      <c r="J19" s="11"/>
      <c r="K19" s="11"/>
      <c r="L19" s="11"/>
      <c r="M19" s="12" t="str">
        <f t="shared" si="2"/>
        <v/>
      </c>
    </row>
    <row r="20" spans="1:13" x14ac:dyDescent="0.2">
      <c r="A20" s="19">
        <f>IF(DAY(DATE(2026,10+1,0))&gt;=17,DATE(2026,10,17),"")</f>
        <v>46312</v>
      </c>
      <c r="B20" s="16"/>
      <c r="C20" s="16"/>
      <c r="D20" s="16"/>
      <c r="E20" s="12" t="str">
        <f t="shared" si="0"/>
        <v/>
      </c>
      <c r="F20" s="11"/>
      <c r="G20" s="11"/>
      <c r="H20" s="11"/>
      <c r="I20" s="12" t="str">
        <f t="shared" si="1"/>
        <v/>
      </c>
      <c r="J20" s="11"/>
      <c r="K20" s="11"/>
      <c r="L20" s="11"/>
      <c r="M20" s="12" t="str">
        <f t="shared" si="2"/>
        <v/>
      </c>
    </row>
    <row r="21" spans="1:13" x14ac:dyDescent="0.2">
      <c r="A21" s="19">
        <f>IF(DAY(DATE(2026,10+1,0))&gt;=18,DATE(2026,10,18),"")</f>
        <v>46313</v>
      </c>
      <c r="B21" s="16"/>
      <c r="C21" s="16"/>
      <c r="D21" s="16"/>
      <c r="E21" s="12" t="str">
        <f t="shared" si="0"/>
        <v/>
      </c>
      <c r="F21" s="11"/>
      <c r="G21" s="11"/>
      <c r="H21" s="11"/>
      <c r="I21" s="12" t="str">
        <f t="shared" si="1"/>
        <v/>
      </c>
      <c r="J21" s="11"/>
      <c r="K21" s="11"/>
      <c r="L21" s="11"/>
      <c r="M21" s="12" t="str">
        <f t="shared" si="2"/>
        <v/>
      </c>
    </row>
    <row r="22" spans="1:13" x14ac:dyDescent="0.2">
      <c r="A22" s="19">
        <f>IF(DAY(DATE(2026,10+1,0))&gt;=19,DATE(2026,10,19),"")</f>
        <v>46314</v>
      </c>
      <c r="B22" s="16"/>
      <c r="C22" s="16"/>
      <c r="D22" s="16"/>
      <c r="E22" s="12" t="str">
        <f t="shared" si="0"/>
        <v/>
      </c>
      <c r="F22" s="11"/>
      <c r="G22" s="11"/>
      <c r="H22" s="11"/>
      <c r="I22" s="12" t="str">
        <f t="shared" si="1"/>
        <v/>
      </c>
      <c r="J22" s="11"/>
      <c r="K22" s="11"/>
      <c r="L22" s="11"/>
      <c r="M22" s="12" t="str">
        <f t="shared" si="2"/>
        <v/>
      </c>
    </row>
    <row r="23" spans="1:13" x14ac:dyDescent="0.2">
      <c r="A23" s="19">
        <f>IF(DAY(DATE(2026,10+1,0))&gt;=20,DATE(2026,10,20),"")</f>
        <v>46315</v>
      </c>
      <c r="B23" s="16"/>
      <c r="C23" s="16"/>
      <c r="D23" s="16"/>
      <c r="E23" s="12" t="str">
        <f t="shared" si="0"/>
        <v/>
      </c>
      <c r="F23" s="11"/>
      <c r="G23" s="11"/>
      <c r="H23" s="11"/>
      <c r="I23" s="12" t="str">
        <f t="shared" si="1"/>
        <v/>
      </c>
      <c r="J23" s="11"/>
      <c r="K23" s="11"/>
      <c r="L23" s="11"/>
      <c r="M23" s="12" t="str">
        <f t="shared" si="2"/>
        <v/>
      </c>
    </row>
    <row r="24" spans="1:13" x14ac:dyDescent="0.2">
      <c r="A24" s="19">
        <f>IF(DAY(DATE(2026,10+1,0))&gt;=21,DATE(2026,10,21),"")</f>
        <v>46316</v>
      </c>
      <c r="B24" s="16"/>
      <c r="C24" s="16"/>
      <c r="D24" s="16"/>
      <c r="E24" s="12" t="str">
        <f t="shared" si="0"/>
        <v/>
      </c>
      <c r="F24" s="11"/>
      <c r="G24" s="11"/>
      <c r="H24" s="11"/>
      <c r="I24" s="12" t="str">
        <f t="shared" si="1"/>
        <v/>
      </c>
      <c r="J24" s="11"/>
      <c r="K24" s="11"/>
      <c r="L24" s="11"/>
      <c r="M24" s="12" t="str">
        <f t="shared" si="2"/>
        <v/>
      </c>
    </row>
    <row r="25" spans="1:13" x14ac:dyDescent="0.2">
      <c r="A25" s="19">
        <f>IF(DAY(DATE(2026,10+1,0))&gt;=22,DATE(2026,10,22),"")</f>
        <v>46317</v>
      </c>
      <c r="B25" s="16"/>
      <c r="C25" s="16"/>
      <c r="D25" s="16"/>
      <c r="E25" s="12" t="str">
        <f t="shared" si="0"/>
        <v/>
      </c>
      <c r="F25" s="11"/>
      <c r="G25" s="11"/>
      <c r="H25" s="11"/>
      <c r="I25" s="12" t="str">
        <f t="shared" si="1"/>
        <v/>
      </c>
      <c r="J25" s="11"/>
      <c r="K25" s="11"/>
      <c r="L25" s="11"/>
      <c r="M25" s="12" t="str">
        <f t="shared" si="2"/>
        <v/>
      </c>
    </row>
    <row r="26" spans="1:13" x14ac:dyDescent="0.2">
      <c r="A26" s="19">
        <f>IF(DAY(DATE(2026,10+1,0))&gt;=23,DATE(2026,10,23),"")</f>
        <v>46318</v>
      </c>
      <c r="B26" s="16"/>
      <c r="C26" s="16"/>
      <c r="D26" s="16"/>
      <c r="E26" s="12" t="str">
        <f t="shared" si="0"/>
        <v/>
      </c>
      <c r="F26" s="11"/>
      <c r="G26" s="11"/>
      <c r="H26" s="11"/>
      <c r="I26" s="12" t="str">
        <f t="shared" si="1"/>
        <v/>
      </c>
      <c r="J26" s="11"/>
      <c r="K26" s="11"/>
      <c r="L26" s="11"/>
      <c r="M26" s="12" t="str">
        <f t="shared" si="2"/>
        <v/>
      </c>
    </row>
    <row r="27" spans="1:13" x14ac:dyDescent="0.2">
      <c r="A27" s="19">
        <f>IF(DAY(DATE(2026,10+1,0))&gt;=24,DATE(2026,10,24),"")</f>
        <v>46319</v>
      </c>
      <c r="B27" s="16"/>
      <c r="C27" s="16"/>
      <c r="D27" s="16"/>
      <c r="E27" s="12" t="str">
        <f t="shared" si="0"/>
        <v/>
      </c>
      <c r="F27" s="11"/>
      <c r="G27" s="11"/>
      <c r="H27" s="11"/>
      <c r="I27" s="12" t="str">
        <f t="shared" si="1"/>
        <v/>
      </c>
      <c r="J27" s="11"/>
      <c r="K27" s="11"/>
      <c r="L27" s="11"/>
      <c r="M27" s="12" t="str">
        <f t="shared" si="2"/>
        <v/>
      </c>
    </row>
    <row r="28" spans="1:13" x14ac:dyDescent="0.2">
      <c r="A28" s="19">
        <f>IF(DAY(DATE(2026,10+1,0))&gt;=25,DATE(2026,10,25),"")</f>
        <v>46320</v>
      </c>
      <c r="B28" s="16"/>
      <c r="C28" s="16"/>
      <c r="D28" s="16"/>
      <c r="E28" s="12" t="str">
        <f t="shared" si="0"/>
        <v/>
      </c>
      <c r="F28" s="11"/>
      <c r="G28" s="11"/>
      <c r="H28" s="11"/>
      <c r="I28" s="12" t="str">
        <f t="shared" si="1"/>
        <v/>
      </c>
      <c r="J28" s="11"/>
      <c r="K28" s="11"/>
      <c r="L28" s="11"/>
      <c r="M28" s="12" t="str">
        <f t="shared" si="2"/>
        <v/>
      </c>
    </row>
    <row r="29" spans="1:13" x14ac:dyDescent="0.2">
      <c r="A29" s="19">
        <f>IF(DAY(DATE(2026,10+1,0))&gt;=26,DATE(2026,10,26),"")</f>
        <v>46321</v>
      </c>
      <c r="B29" s="16"/>
      <c r="C29" s="16"/>
      <c r="D29" s="16"/>
      <c r="E29" s="12" t="str">
        <f t="shared" si="0"/>
        <v/>
      </c>
      <c r="F29" s="11"/>
      <c r="G29" s="11"/>
      <c r="H29" s="11"/>
      <c r="I29" s="12" t="str">
        <f t="shared" si="1"/>
        <v/>
      </c>
      <c r="J29" s="11"/>
      <c r="K29" s="11"/>
      <c r="L29" s="11"/>
      <c r="M29" s="12" t="str">
        <f t="shared" si="2"/>
        <v/>
      </c>
    </row>
    <row r="30" spans="1:13" x14ac:dyDescent="0.2">
      <c r="A30" s="19">
        <f>IF(DAY(DATE(2026,10+1,0))&gt;=27,DATE(2026,10,27),"")</f>
        <v>46322</v>
      </c>
      <c r="B30" s="16"/>
      <c r="C30" s="16"/>
      <c r="D30" s="16"/>
      <c r="E30" s="12" t="str">
        <f t="shared" si="0"/>
        <v/>
      </c>
      <c r="F30" s="11"/>
      <c r="G30" s="11"/>
      <c r="H30" s="11"/>
      <c r="I30" s="12" t="str">
        <f t="shared" si="1"/>
        <v/>
      </c>
      <c r="J30" s="11"/>
      <c r="K30" s="11"/>
      <c r="L30" s="11"/>
      <c r="M30" s="12" t="str">
        <f t="shared" si="2"/>
        <v/>
      </c>
    </row>
    <row r="31" spans="1:13" x14ac:dyDescent="0.2">
      <c r="A31" s="19">
        <f>IF(DAY(DATE(2026,10+1,0))&gt;=28,DATE(2026,10,28),"")</f>
        <v>46323</v>
      </c>
      <c r="B31" s="16"/>
      <c r="C31" s="16"/>
      <c r="D31" s="16"/>
      <c r="E31" s="12" t="str">
        <f t="shared" si="0"/>
        <v/>
      </c>
      <c r="F31" s="11"/>
      <c r="G31" s="11"/>
      <c r="H31" s="11"/>
      <c r="I31" s="12" t="str">
        <f t="shared" si="1"/>
        <v/>
      </c>
      <c r="J31" s="11"/>
      <c r="K31" s="11"/>
      <c r="L31" s="11"/>
      <c r="M31" s="12" t="str">
        <f t="shared" si="2"/>
        <v/>
      </c>
    </row>
    <row r="32" spans="1:13" x14ac:dyDescent="0.2">
      <c r="A32" s="19">
        <f>IF(DAY(DATE(2026,10+1,0))&gt;=29,DATE(2026,10,29),"")</f>
        <v>46324</v>
      </c>
      <c r="B32" s="16"/>
      <c r="C32" s="16"/>
      <c r="D32" s="16"/>
      <c r="E32" s="12" t="str">
        <f t="shared" si="0"/>
        <v/>
      </c>
      <c r="F32" s="11"/>
      <c r="G32" s="11"/>
      <c r="H32" s="11"/>
      <c r="I32" s="12" t="str">
        <f t="shared" si="1"/>
        <v/>
      </c>
      <c r="J32" s="11"/>
      <c r="K32" s="11"/>
      <c r="L32" s="11"/>
      <c r="M32" s="12" t="str">
        <f t="shared" si="2"/>
        <v/>
      </c>
    </row>
    <row r="33" spans="1:13" x14ac:dyDescent="0.2">
      <c r="A33" s="19">
        <f>IF(DAY(DATE(2026,10+1,0))&gt;=30,DATE(2026,10,30),"")</f>
        <v>46325</v>
      </c>
      <c r="B33" s="16"/>
      <c r="C33" s="16"/>
      <c r="D33" s="16"/>
      <c r="E33" s="12" t="str">
        <f t="shared" si="0"/>
        <v/>
      </c>
      <c r="F33" s="11"/>
      <c r="G33" s="11"/>
      <c r="H33" s="11"/>
      <c r="I33" s="12" t="str">
        <f t="shared" si="1"/>
        <v/>
      </c>
      <c r="J33" s="11"/>
      <c r="K33" s="11"/>
      <c r="L33" s="11"/>
      <c r="M33" s="12" t="str">
        <f t="shared" si="2"/>
        <v/>
      </c>
    </row>
    <row r="34" spans="1:13" x14ac:dyDescent="0.2">
      <c r="A34" s="19">
        <f>IF(DAY(DATE(2026,10+1,0))&gt;=31,DATE(2026,10,31),"")</f>
        <v>46326</v>
      </c>
      <c r="B34" s="16"/>
      <c r="C34" s="16"/>
      <c r="D34" s="16"/>
      <c r="E34" s="12" t="str">
        <f t="shared" si="0"/>
        <v/>
      </c>
      <c r="F34" s="11"/>
      <c r="G34" s="11"/>
      <c r="H34" s="11"/>
      <c r="I34" s="12" t="str">
        <f t="shared" si="1"/>
        <v/>
      </c>
      <c r="J34" s="11"/>
      <c r="K34" s="11"/>
      <c r="L34" s="11"/>
      <c r="M34" s="12" t="str">
        <f t="shared" si="2"/>
        <v/>
      </c>
    </row>
  </sheetData>
  <sheetProtection password="CB1D" sheet="1"/>
  <conditionalFormatting sqref="B4:D34">
    <cfRule type="expression" dxfId="80" priority="23">
      <formula>$E4="Hypertonie Grad 3"</formula>
    </cfRule>
    <cfRule type="expression" dxfId="79" priority="22">
      <formula>$E4="Hypertonie Grad 2"</formula>
    </cfRule>
  </conditionalFormatting>
  <conditionalFormatting sqref="E4:E34">
    <cfRule type="expression" dxfId="78" priority="1">
      <formula>$E4="Zu niedrig"</formula>
    </cfRule>
    <cfRule type="expression" dxfId="77" priority="2">
      <formula>$E4="Optimal"</formula>
    </cfRule>
    <cfRule type="expression" dxfId="76" priority="3">
      <formula>$E4="Normal"</formula>
    </cfRule>
    <cfRule type="expression" dxfId="75" priority="4">
      <formula>$E4="Hoch-normal"</formula>
    </cfRule>
    <cfRule type="expression" dxfId="74" priority="5">
      <formula>$E4="Hypertonie Grad 1"</formula>
    </cfRule>
    <cfRule type="expression" dxfId="73" priority="6">
      <formula>$E4="Hypertonie Grad 2"</formula>
    </cfRule>
    <cfRule type="expression" dxfId="72" priority="7">
      <formula>$E4="Hypertonie Grad 3"</formula>
    </cfRule>
  </conditionalFormatting>
  <conditionalFormatting sqref="F4:H34">
    <cfRule type="expression" dxfId="71" priority="25">
      <formula>$I4="Hypertonie Grad 3"</formula>
    </cfRule>
    <cfRule type="expression" dxfId="70" priority="24">
      <formula>$I4="Hypertonie Grad 2"</formula>
    </cfRule>
  </conditionalFormatting>
  <conditionalFormatting sqref="I4:I34">
    <cfRule type="expression" dxfId="69" priority="14">
      <formula>$I4="Hypertonie Grad 3"</formula>
    </cfRule>
    <cfRule type="expression" dxfId="68" priority="13">
      <formula>$I4="Hypertonie Grad 2"</formula>
    </cfRule>
    <cfRule type="expression" dxfId="67" priority="12">
      <formula>$I4="Hypertonie Grad 1"</formula>
    </cfRule>
    <cfRule type="expression" dxfId="66" priority="11">
      <formula>$I4="Hoch-normal"</formula>
    </cfRule>
    <cfRule type="expression" dxfId="65" priority="10">
      <formula>$I4="Normal"</formula>
    </cfRule>
    <cfRule type="expression" dxfId="64" priority="9">
      <formula>$I4="Optimal"</formula>
    </cfRule>
    <cfRule type="expression" dxfId="63" priority="8">
      <formula>$I4="Zu niedrig"</formula>
    </cfRule>
  </conditionalFormatting>
  <conditionalFormatting sqref="J4:L34">
    <cfRule type="expression" dxfId="62" priority="26">
      <formula>$M4="Hypertonie Grad 2"</formula>
    </cfRule>
    <cfRule type="expression" dxfId="61" priority="27">
      <formula>$M4="Hypertonie Grad 3"</formula>
    </cfRule>
  </conditionalFormatting>
  <conditionalFormatting sqref="M4:M34">
    <cfRule type="expression" dxfId="60" priority="15">
      <formula>$M4="Zu niedrig"</formula>
    </cfRule>
    <cfRule type="expression" dxfId="59" priority="16">
      <formula>$M4="Optimal"</formula>
    </cfRule>
    <cfRule type="expression" dxfId="58" priority="17">
      <formula>$M4="Normal"</formula>
    </cfRule>
    <cfRule type="expression" dxfId="57" priority="18">
      <formula>$M4="Hoch-normal"</formula>
    </cfRule>
    <cfRule type="expression" dxfId="56" priority="19">
      <formula>$M4="Hypertonie Grad 1"</formula>
    </cfRule>
    <cfRule type="expression" dxfId="55" priority="20">
      <formula>$M4="Hypertonie Grad 2"</formula>
    </cfRule>
    <cfRule type="expression" dxfId="54" priority="21">
      <formula>$M4="Hypertonie Grad 3"</formula>
    </cfRule>
  </conditionalFormatting>
  <printOptions horizontalCentered="1"/>
  <pageMargins left="0.4" right="0.4" top="0.6" bottom="0.6" header="0.5" footer="0.5"/>
  <pageSetup paperSize="9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34"/>
  <sheetViews>
    <sheetView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2" customWidth="1"/>
    <col min="2" max="2" width="9" customWidth="1"/>
    <col min="3" max="3" width="10" customWidth="1"/>
    <col min="4" max="4" width="8" customWidth="1"/>
    <col min="5" max="5" width="15" customWidth="1"/>
    <col min="6" max="6" width="16" customWidth="1"/>
    <col min="7" max="7" width="10" customWidth="1"/>
    <col min="8" max="8" width="8" customWidth="1"/>
    <col min="9" max="9" width="15" customWidth="1"/>
    <col min="10" max="10" width="9" customWidth="1"/>
    <col min="11" max="11" width="10" customWidth="1"/>
    <col min="12" max="12" width="8" customWidth="1"/>
    <col min="13" max="13" width="15" customWidth="1"/>
  </cols>
  <sheetData>
    <row r="1" spans="1:13" x14ac:dyDescent="0.2">
      <c r="A1" s="10" t="s">
        <v>56</v>
      </c>
      <c r="B1" s="11">
        <v>2026</v>
      </c>
      <c r="D1" s="10" t="s">
        <v>31</v>
      </c>
      <c r="E1" s="11">
        <v>11</v>
      </c>
    </row>
    <row r="2" spans="1:13" x14ac:dyDescent="0.2">
      <c r="B2" s="13" t="str">
        <f>IF(Jahresübersicht!A6="","",Jahresübersicht!A6)</f>
        <v/>
      </c>
      <c r="D2" s="13" t="str">
        <f>IF(Jahresübersicht!C6="","",Jahresübersicht!C6)</f>
        <v/>
      </c>
      <c r="F2" s="14" t="str">
        <f>IF(Jahresübersicht!E6="","",Jahresübersicht!E6)</f>
        <v/>
      </c>
      <c r="H2" s="18"/>
      <c r="I2" s="15" t="s">
        <v>57</v>
      </c>
    </row>
    <row r="3" spans="1:13" ht="16" x14ac:dyDescent="0.2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7" t="s">
        <v>63</v>
      </c>
      <c r="G3" s="17" t="s">
        <v>64</v>
      </c>
      <c r="H3" s="17" t="s">
        <v>65</v>
      </c>
      <c r="I3" s="1" t="s">
        <v>66</v>
      </c>
      <c r="J3" s="17" t="s">
        <v>67</v>
      </c>
      <c r="K3" s="17" t="s">
        <v>68</v>
      </c>
      <c r="L3" s="17" t="s">
        <v>69</v>
      </c>
      <c r="M3" s="1" t="s">
        <v>70</v>
      </c>
    </row>
    <row r="4" spans="1:13" x14ac:dyDescent="0.2">
      <c r="A4" s="19">
        <f>IF(DAY(DATE(2026,11+1,0))&gt;=1,DATE(2026,11,1),"")</f>
        <v>46327</v>
      </c>
      <c r="B4" s="16"/>
      <c r="C4" s="16"/>
      <c r="D4" s="16"/>
      <c r="E4" s="12" t="str">
        <f t="shared" ref="E4:E34" si="0">IF(OR(B4="",C4=""),"",IF(OR(B4&lt;90,C4&lt;60),"Zu niedrig",IF(AND(B4&lt;120,C4&lt;80),"Optimal",IF(AND(B4&lt;130,C4&lt;85),"Normal",IF(AND(B4&lt;140,C4&lt;90),"Hoch-normal",IF(AND(B4&lt;160,C4&lt;100),"Hypertonie Grad 1",IF(AND(B4&lt;180,C4&lt;110),"Hypertonie Grad 2","Hypertonie Grad 3")))))))</f>
        <v/>
      </c>
      <c r="F4" s="11"/>
      <c r="G4" s="11"/>
      <c r="H4" s="11"/>
      <c r="I4" s="12" t="str">
        <f t="shared" ref="I4:I34" si="1">IF(OR(F4="",G4=""),"",IF(OR(F4&lt;90,G4&lt;60),"Zu niedrig",IF(AND(F4&lt;120,G4&lt;80),"Optimal",IF(AND(F4&lt;130,G4&lt;85),"Normal",IF(AND(F4&lt;140,G4&lt;90),"Hoch-normal",IF(AND(F4&lt;160,G4&lt;100),"Hypertonie Grad 1",IF(AND(F4&lt;180,G4&lt;110),"Hypertonie Grad 2","Hypertonie Grad 3")))))))</f>
        <v/>
      </c>
      <c r="J4" s="11"/>
      <c r="K4" s="11"/>
      <c r="L4" s="11"/>
      <c r="M4" s="12" t="str">
        <f t="shared" ref="M4:M34" si="2">IF(OR(J4="",K4=""),"",IF(OR(J4&lt;90,K4&lt;60),"Zu niedrig",IF(AND(J4&lt;120,K4&lt;80),"Optimal",IF(AND(J4&lt;130,K4&lt;85),"Normal",IF(AND(J4&lt;140,K4&lt;90),"Hoch-normal",IF(AND(J4&lt;160,K4&lt;100),"Hypertonie Grad 1",IF(AND(J4&lt;180,K4&lt;110),"Hypertonie Grad 2","Hypertonie Grad 3")))))))</f>
        <v/>
      </c>
    </row>
    <row r="5" spans="1:13" x14ac:dyDescent="0.2">
      <c r="A5" s="19">
        <f>IF(DAY(DATE(2026,11+1,0))&gt;=2,DATE(2026,11,2),"")</f>
        <v>46328</v>
      </c>
      <c r="B5" s="16"/>
      <c r="C5" s="16"/>
      <c r="D5" s="16"/>
      <c r="E5" s="12" t="str">
        <f t="shared" si="0"/>
        <v/>
      </c>
      <c r="F5" s="11"/>
      <c r="G5" s="11"/>
      <c r="H5" s="11"/>
      <c r="I5" s="12" t="str">
        <f t="shared" si="1"/>
        <v/>
      </c>
      <c r="J5" s="11"/>
      <c r="K5" s="11"/>
      <c r="L5" s="11"/>
      <c r="M5" s="12" t="str">
        <f t="shared" si="2"/>
        <v/>
      </c>
    </row>
    <row r="6" spans="1:13" x14ac:dyDescent="0.2">
      <c r="A6" s="19">
        <f>IF(DAY(DATE(2026,11+1,0))&gt;=3,DATE(2026,11,3),"")</f>
        <v>46329</v>
      </c>
      <c r="B6" s="16"/>
      <c r="C6" s="16"/>
      <c r="D6" s="16"/>
      <c r="E6" s="12" t="str">
        <f t="shared" si="0"/>
        <v/>
      </c>
      <c r="F6" s="11"/>
      <c r="G6" s="11"/>
      <c r="H6" s="11"/>
      <c r="I6" s="12" t="str">
        <f t="shared" si="1"/>
        <v/>
      </c>
      <c r="J6" s="11"/>
      <c r="K6" s="11"/>
      <c r="L6" s="11"/>
      <c r="M6" s="12" t="str">
        <f t="shared" si="2"/>
        <v/>
      </c>
    </row>
    <row r="7" spans="1:13" x14ac:dyDescent="0.2">
      <c r="A7" s="19">
        <f>IF(DAY(DATE(2026,11+1,0))&gt;=4,DATE(2026,11,4),"")</f>
        <v>46330</v>
      </c>
      <c r="B7" s="16"/>
      <c r="C7" s="16"/>
      <c r="D7" s="16"/>
      <c r="E7" s="12" t="str">
        <f t="shared" si="0"/>
        <v/>
      </c>
      <c r="F7" s="11"/>
      <c r="G7" s="11"/>
      <c r="H7" s="11"/>
      <c r="I7" s="12" t="str">
        <f t="shared" si="1"/>
        <v/>
      </c>
      <c r="J7" s="11"/>
      <c r="K7" s="11"/>
      <c r="L7" s="11"/>
      <c r="M7" s="12" t="str">
        <f t="shared" si="2"/>
        <v/>
      </c>
    </row>
    <row r="8" spans="1:13" x14ac:dyDescent="0.2">
      <c r="A8" s="19">
        <f>IF(DAY(DATE(2026,11+1,0))&gt;=5,DATE(2026,11,5),"")</f>
        <v>46331</v>
      </c>
      <c r="B8" s="16"/>
      <c r="C8" s="16"/>
      <c r="D8" s="16"/>
      <c r="E8" s="12" t="str">
        <f t="shared" si="0"/>
        <v/>
      </c>
      <c r="F8" s="11"/>
      <c r="G8" s="11"/>
      <c r="H8" s="11"/>
      <c r="I8" s="12" t="str">
        <f t="shared" si="1"/>
        <v/>
      </c>
      <c r="J8" s="11"/>
      <c r="K8" s="11"/>
      <c r="L8" s="11"/>
      <c r="M8" s="12" t="str">
        <f t="shared" si="2"/>
        <v/>
      </c>
    </row>
    <row r="9" spans="1:13" x14ac:dyDescent="0.2">
      <c r="A9" s="19">
        <f>IF(DAY(DATE(2026,11+1,0))&gt;=6,DATE(2026,11,6),"")</f>
        <v>46332</v>
      </c>
      <c r="B9" s="16"/>
      <c r="C9" s="16"/>
      <c r="D9" s="16"/>
      <c r="E9" s="12" t="str">
        <f t="shared" si="0"/>
        <v/>
      </c>
      <c r="F9" s="11"/>
      <c r="G9" s="11"/>
      <c r="H9" s="11"/>
      <c r="I9" s="12" t="str">
        <f t="shared" si="1"/>
        <v/>
      </c>
      <c r="J9" s="11"/>
      <c r="K9" s="11"/>
      <c r="L9" s="11"/>
      <c r="M9" s="12" t="str">
        <f t="shared" si="2"/>
        <v/>
      </c>
    </row>
    <row r="10" spans="1:13" x14ac:dyDescent="0.2">
      <c r="A10" s="19">
        <f>IF(DAY(DATE(2026,11+1,0))&gt;=7,DATE(2026,11,7),"")</f>
        <v>46333</v>
      </c>
      <c r="B10" s="16"/>
      <c r="C10" s="16"/>
      <c r="D10" s="16"/>
      <c r="E10" s="12" t="str">
        <f t="shared" si="0"/>
        <v/>
      </c>
      <c r="F10" s="11"/>
      <c r="G10" s="11"/>
      <c r="H10" s="11"/>
      <c r="I10" s="12" t="str">
        <f t="shared" si="1"/>
        <v/>
      </c>
      <c r="J10" s="11"/>
      <c r="K10" s="11"/>
      <c r="L10" s="11"/>
      <c r="M10" s="12" t="str">
        <f t="shared" si="2"/>
        <v/>
      </c>
    </row>
    <row r="11" spans="1:13" x14ac:dyDescent="0.2">
      <c r="A11" s="19">
        <f>IF(DAY(DATE(2026,11+1,0))&gt;=8,DATE(2026,11,8),"")</f>
        <v>46334</v>
      </c>
      <c r="B11" s="16"/>
      <c r="C11" s="16"/>
      <c r="D11" s="16"/>
      <c r="E11" s="12" t="str">
        <f t="shared" si="0"/>
        <v/>
      </c>
      <c r="F11" s="11"/>
      <c r="G11" s="11"/>
      <c r="H11" s="11"/>
      <c r="I11" s="12" t="str">
        <f t="shared" si="1"/>
        <v/>
      </c>
      <c r="J11" s="11"/>
      <c r="K11" s="11"/>
      <c r="L11" s="11"/>
      <c r="M11" s="12" t="str">
        <f t="shared" si="2"/>
        <v/>
      </c>
    </row>
    <row r="12" spans="1:13" x14ac:dyDescent="0.2">
      <c r="A12" s="19">
        <f>IF(DAY(DATE(2026,11+1,0))&gt;=9,DATE(2026,11,9),"")</f>
        <v>46335</v>
      </c>
      <c r="B12" s="16"/>
      <c r="C12" s="16"/>
      <c r="D12" s="16"/>
      <c r="E12" s="12" t="str">
        <f t="shared" si="0"/>
        <v/>
      </c>
      <c r="F12" s="11"/>
      <c r="G12" s="11"/>
      <c r="H12" s="11"/>
      <c r="I12" s="12" t="str">
        <f t="shared" si="1"/>
        <v/>
      </c>
      <c r="J12" s="11"/>
      <c r="K12" s="11"/>
      <c r="L12" s="11"/>
      <c r="M12" s="12" t="str">
        <f t="shared" si="2"/>
        <v/>
      </c>
    </row>
    <row r="13" spans="1:13" x14ac:dyDescent="0.2">
      <c r="A13" s="19">
        <f>IF(DAY(DATE(2026,11+1,0))&gt;=10,DATE(2026,11,10),"")</f>
        <v>46336</v>
      </c>
      <c r="B13" s="16"/>
      <c r="C13" s="16"/>
      <c r="D13" s="16"/>
      <c r="E13" s="12" t="str">
        <f t="shared" si="0"/>
        <v/>
      </c>
      <c r="F13" s="11"/>
      <c r="G13" s="11"/>
      <c r="H13" s="11"/>
      <c r="I13" s="12" t="str">
        <f t="shared" si="1"/>
        <v/>
      </c>
      <c r="J13" s="11"/>
      <c r="K13" s="11"/>
      <c r="L13" s="11"/>
      <c r="M13" s="12" t="str">
        <f t="shared" si="2"/>
        <v/>
      </c>
    </row>
    <row r="14" spans="1:13" x14ac:dyDescent="0.2">
      <c r="A14" s="19">
        <f>IF(DAY(DATE(2026,11+1,0))&gt;=11,DATE(2026,11,11),"")</f>
        <v>46337</v>
      </c>
      <c r="B14" s="16"/>
      <c r="C14" s="16"/>
      <c r="D14" s="16"/>
      <c r="E14" s="12" t="str">
        <f t="shared" si="0"/>
        <v/>
      </c>
      <c r="F14" s="11"/>
      <c r="G14" s="11"/>
      <c r="H14" s="11"/>
      <c r="I14" s="12" t="str">
        <f t="shared" si="1"/>
        <v/>
      </c>
      <c r="J14" s="11"/>
      <c r="K14" s="11"/>
      <c r="L14" s="11"/>
      <c r="M14" s="12" t="str">
        <f t="shared" si="2"/>
        <v/>
      </c>
    </row>
    <row r="15" spans="1:13" x14ac:dyDescent="0.2">
      <c r="A15" s="19">
        <f>IF(DAY(DATE(2026,11+1,0))&gt;=12,DATE(2026,11,12),"")</f>
        <v>46338</v>
      </c>
      <c r="B15" s="16"/>
      <c r="C15" s="16"/>
      <c r="D15" s="16"/>
      <c r="E15" s="12" t="str">
        <f t="shared" si="0"/>
        <v/>
      </c>
      <c r="F15" s="11"/>
      <c r="G15" s="11"/>
      <c r="H15" s="11"/>
      <c r="I15" s="12" t="str">
        <f t="shared" si="1"/>
        <v/>
      </c>
      <c r="J15" s="11"/>
      <c r="K15" s="11"/>
      <c r="L15" s="11"/>
      <c r="M15" s="12" t="str">
        <f t="shared" si="2"/>
        <v/>
      </c>
    </row>
    <row r="16" spans="1:13" x14ac:dyDescent="0.2">
      <c r="A16" s="19">
        <f>IF(DAY(DATE(2026,11+1,0))&gt;=13,DATE(2026,11,13),"")</f>
        <v>46339</v>
      </c>
      <c r="B16" s="16"/>
      <c r="C16" s="16"/>
      <c r="D16" s="16"/>
      <c r="E16" s="12" t="str">
        <f t="shared" si="0"/>
        <v/>
      </c>
      <c r="F16" s="11"/>
      <c r="G16" s="11"/>
      <c r="H16" s="11"/>
      <c r="I16" s="12" t="str">
        <f t="shared" si="1"/>
        <v/>
      </c>
      <c r="J16" s="11"/>
      <c r="K16" s="11"/>
      <c r="L16" s="11"/>
      <c r="M16" s="12" t="str">
        <f t="shared" si="2"/>
        <v/>
      </c>
    </row>
    <row r="17" spans="1:13" x14ac:dyDescent="0.2">
      <c r="A17" s="19">
        <f>IF(DAY(DATE(2026,11+1,0))&gt;=14,DATE(2026,11,14),"")</f>
        <v>46340</v>
      </c>
      <c r="B17" s="16"/>
      <c r="C17" s="16"/>
      <c r="D17" s="16"/>
      <c r="E17" s="12" t="str">
        <f t="shared" si="0"/>
        <v/>
      </c>
      <c r="F17" s="11"/>
      <c r="G17" s="11"/>
      <c r="H17" s="11"/>
      <c r="I17" s="12" t="str">
        <f t="shared" si="1"/>
        <v/>
      </c>
      <c r="J17" s="11"/>
      <c r="K17" s="11"/>
      <c r="L17" s="11"/>
      <c r="M17" s="12" t="str">
        <f t="shared" si="2"/>
        <v/>
      </c>
    </row>
    <row r="18" spans="1:13" x14ac:dyDescent="0.2">
      <c r="A18" s="19">
        <f>IF(DAY(DATE(2026,11+1,0))&gt;=15,DATE(2026,11,15),"")</f>
        <v>46341</v>
      </c>
      <c r="B18" s="16"/>
      <c r="C18" s="16"/>
      <c r="D18" s="16"/>
      <c r="E18" s="12" t="str">
        <f t="shared" si="0"/>
        <v/>
      </c>
      <c r="F18" s="11"/>
      <c r="G18" s="11"/>
      <c r="H18" s="11"/>
      <c r="I18" s="12" t="str">
        <f t="shared" si="1"/>
        <v/>
      </c>
      <c r="J18" s="11"/>
      <c r="K18" s="11"/>
      <c r="L18" s="11"/>
      <c r="M18" s="12" t="str">
        <f t="shared" si="2"/>
        <v/>
      </c>
    </row>
    <row r="19" spans="1:13" x14ac:dyDescent="0.2">
      <c r="A19" s="19">
        <f>IF(DAY(DATE(2026,11+1,0))&gt;=16,DATE(2026,11,16),"")</f>
        <v>46342</v>
      </c>
      <c r="B19" s="16"/>
      <c r="C19" s="16"/>
      <c r="D19" s="16"/>
      <c r="E19" s="12" t="str">
        <f t="shared" si="0"/>
        <v/>
      </c>
      <c r="F19" s="11"/>
      <c r="G19" s="11"/>
      <c r="H19" s="11"/>
      <c r="I19" s="12" t="str">
        <f t="shared" si="1"/>
        <v/>
      </c>
      <c r="J19" s="11"/>
      <c r="K19" s="11"/>
      <c r="L19" s="11"/>
      <c r="M19" s="12" t="str">
        <f t="shared" si="2"/>
        <v/>
      </c>
    </row>
    <row r="20" spans="1:13" x14ac:dyDescent="0.2">
      <c r="A20" s="19">
        <f>IF(DAY(DATE(2026,11+1,0))&gt;=17,DATE(2026,11,17),"")</f>
        <v>46343</v>
      </c>
      <c r="B20" s="16"/>
      <c r="C20" s="16"/>
      <c r="D20" s="16"/>
      <c r="E20" s="12" t="str">
        <f t="shared" si="0"/>
        <v/>
      </c>
      <c r="F20" s="11"/>
      <c r="G20" s="11"/>
      <c r="H20" s="11"/>
      <c r="I20" s="12" t="str">
        <f t="shared" si="1"/>
        <v/>
      </c>
      <c r="J20" s="11"/>
      <c r="K20" s="11"/>
      <c r="L20" s="11"/>
      <c r="M20" s="12" t="str">
        <f t="shared" si="2"/>
        <v/>
      </c>
    </row>
    <row r="21" spans="1:13" x14ac:dyDescent="0.2">
      <c r="A21" s="19">
        <f>IF(DAY(DATE(2026,11+1,0))&gt;=18,DATE(2026,11,18),"")</f>
        <v>46344</v>
      </c>
      <c r="B21" s="16"/>
      <c r="C21" s="16"/>
      <c r="D21" s="16"/>
      <c r="E21" s="12" t="str">
        <f t="shared" si="0"/>
        <v/>
      </c>
      <c r="F21" s="11"/>
      <c r="G21" s="11"/>
      <c r="H21" s="11"/>
      <c r="I21" s="12" t="str">
        <f t="shared" si="1"/>
        <v/>
      </c>
      <c r="J21" s="11"/>
      <c r="K21" s="11"/>
      <c r="L21" s="11"/>
      <c r="M21" s="12" t="str">
        <f t="shared" si="2"/>
        <v/>
      </c>
    </row>
    <row r="22" spans="1:13" x14ac:dyDescent="0.2">
      <c r="A22" s="19">
        <f>IF(DAY(DATE(2026,11+1,0))&gt;=19,DATE(2026,11,19),"")</f>
        <v>46345</v>
      </c>
      <c r="B22" s="16"/>
      <c r="C22" s="16"/>
      <c r="D22" s="16"/>
      <c r="E22" s="12" t="str">
        <f t="shared" si="0"/>
        <v/>
      </c>
      <c r="F22" s="11"/>
      <c r="G22" s="11"/>
      <c r="H22" s="11"/>
      <c r="I22" s="12" t="str">
        <f t="shared" si="1"/>
        <v/>
      </c>
      <c r="J22" s="11"/>
      <c r="K22" s="11"/>
      <c r="L22" s="11"/>
      <c r="M22" s="12" t="str">
        <f t="shared" si="2"/>
        <v/>
      </c>
    </row>
    <row r="23" spans="1:13" x14ac:dyDescent="0.2">
      <c r="A23" s="19">
        <f>IF(DAY(DATE(2026,11+1,0))&gt;=20,DATE(2026,11,20),"")</f>
        <v>46346</v>
      </c>
      <c r="B23" s="16"/>
      <c r="C23" s="16"/>
      <c r="D23" s="16"/>
      <c r="E23" s="12" t="str">
        <f t="shared" si="0"/>
        <v/>
      </c>
      <c r="F23" s="11"/>
      <c r="G23" s="11"/>
      <c r="H23" s="11"/>
      <c r="I23" s="12" t="str">
        <f t="shared" si="1"/>
        <v/>
      </c>
      <c r="J23" s="11"/>
      <c r="K23" s="11"/>
      <c r="L23" s="11"/>
      <c r="M23" s="12" t="str">
        <f t="shared" si="2"/>
        <v/>
      </c>
    </row>
    <row r="24" spans="1:13" x14ac:dyDescent="0.2">
      <c r="A24" s="19">
        <f>IF(DAY(DATE(2026,11+1,0))&gt;=21,DATE(2026,11,21),"")</f>
        <v>46347</v>
      </c>
      <c r="B24" s="16"/>
      <c r="C24" s="16"/>
      <c r="D24" s="16"/>
      <c r="E24" s="12" t="str">
        <f t="shared" si="0"/>
        <v/>
      </c>
      <c r="F24" s="11"/>
      <c r="G24" s="11"/>
      <c r="H24" s="11"/>
      <c r="I24" s="12" t="str">
        <f t="shared" si="1"/>
        <v/>
      </c>
      <c r="J24" s="11"/>
      <c r="K24" s="11"/>
      <c r="L24" s="11"/>
      <c r="M24" s="12" t="str">
        <f t="shared" si="2"/>
        <v/>
      </c>
    </row>
    <row r="25" spans="1:13" x14ac:dyDescent="0.2">
      <c r="A25" s="19">
        <f>IF(DAY(DATE(2026,11+1,0))&gt;=22,DATE(2026,11,22),"")</f>
        <v>46348</v>
      </c>
      <c r="B25" s="16"/>
      <c r="C25" s="16"/>
      <c r="D25" s="16"/>
      <c r="E25" s="12" t="str">
        <f t="shared" si="0"/>
        <v/>
      </c>
      <c r="F25" s="11"/>
      <c r="G25" s="11"/>
      <c r="H25" s="11"/>
      <c r="I25" s="12" t="str">
        <f t="shared" si="1"/>
        <v/>
      </c>
      <c r="J25" s="11"/>
      <c r="K25" s="11"/>
      <c r="L25" s="11"/>
      <c r="M25" s="12" t="str">
        <f t="shared" si="2"/>
        <v/>
      </c>
    </row>
    <row r="26" spans="1:13" x14ac:dyDescent="0.2">
      <c r="A26" s="19">
        <f>IF(DAY(DATE(2026,11+1,0))&gt;=23,DATE(2026,11,23),"")</f>
        <v>46349</v>
      </c>
      <c r="B26" s="16"/>
      <c r="C26" s="16"/>
      <c r="D26" s="16"/>
      <c r="E26" s="12" t="str">
        <f t="shared" si="0"/>
        <v/>
      </c>
      <c r="F26" s="11"/>
      <c r="G26" s="11"/>
      <c r="H26" s="11"/>
      <c r="I26" s="12" t="str">
        <f t="shared" si="1"/>
        <v/>
      </c>
      <c r="J26" s="11"/>
      <c r="K26" s="11"/>
      <c r="L26" s="11"/>
      <c r="M26" s="12" t="str">
        <f t="shared" si="2"/>
        <v/>
      </c>
    </row>
    <row r="27" spans="1:13" x14ac:dyDescent="0.2">
      <c r="A27" s="19">
        <f>IF(DAY(DATE(2026,11+1,0))&gt;=24,DATE(2026,11,24),"")</f>
        <v>46350</v>
      </c>
      <c r="B27" s="16"/>
      <c r="C27" s="16"/>
      <c r="D27" s="16"/>
      <c r="E27" s="12" t="str">
        <f t="shared" si="0"/>
        <v/>
      </c>
      <c r="F27" s="11"/>
      <c r="G27" s="11"/>
      <c r="H27" s="11"/>
      <c r="I27" s="12" t="str">
        <f t="shared" si="1"/>
        <v/>
      </c>
      <c r="J27" s="11"/>
      <c r="K27" s="11"/>
      <c r="L27" s="11"/>
      <c r="M27" s="12" t="str">
        <f t="shared" si="2"/>
        <v/>
      </c>
    </row>
    <row r="28" spans="1:13" x14ac:dyDescent="0.2">
      <c r="A28" s="19">
        <f>IF(DAY(DATE(2026,11+1,0))&gt;=25,DATE(2026,11,25),"")</f>
        <v>46351</v>
      </c>
      <c r="B28" s="16"/>
      <c r="C28" s="16"/>
      <c r="D28" s="16"/>
      <c r="E28" s="12" t="str">
        <f t="shared" si="0"/>
        <v/>
      </c>
      <c r="F28" s="11"/>
      <c r="G28" s="11"/>
      <c r="H28" s="11"/>
      <c r="I28" s="12" t="str">
        <f t="shared" si="1"/>
        <v/>
      </c>
      <c r="J28" s="11"/>
      <c r="K28" s="11"/>
      <c r="L28" s="11"/>
      <c r="M28" s="12" t="str">
        <f t="shared" si="2"/>
        <v/>
      </c>
    </row>
    <row r="29" spans="1:13" x14ac:dyDescent="0.2">
      <c r="A29" s="19">
        <f>IF(DAY(DATE(2026,11+1,0))&gt;=26,DATE(2026,11,26),"")</f>
        <v>46352</v>
      </c>
      <c r="B29" s="16"/>
      <c r="C29" s="16"/>
      <c r="D29" s="16"/>
      <c r="E29" s="12" t="str">
        <f t="shared" si="0"/>
        <v/>
      </c>
      <c r="F29" s="11"/>
      <c r="G29" s="11"/>
      <c r="H29" s="11"/>
      <c r="I29" s="12" t="str">
        <f t="shared" si="1"/>
        <v/>
      </c>
      <c r="J29" s="11"/>
      <c r="K29" s="11"/>
      <c r="L29" s="11"/>
      <c r="M29" s="12" t="str">
        <f t="shared" si="2"/>
        <v/>
      </c>
    </row>
    <row r="30" spans="1:13" x14ac:dyDescent="0.2">
      <c r="A30" s="19">
        <f>IF(DAY(DATE(2026,11+1,0))&gt;=27,DATE(2026,11,27),"")</f>
        <v>46353</v>
      </c>
      <c r="B30" s="16"/>
      <c r="C30" s="16"/>
      <c r="D30" s="16"/>
      <c r="E30" s="12" t="str">
        <f t="shared" si="0"/>
        <v/>
      </c>
      <c r="F30" s="11"/>
      <c r="G30" s="11"/>
      <c r="H30" s="11"/>
      <c r="I30" s="12" t="str">
        <f t="shared" si="1"/>
        <v/>
      </c>
      <c r="J30" s="11"/>
      <c r="K30" s="11"/>
      <c r="L30" s="11"/>
      <c r="M30" s="12" t="str">
        <f t="shared" si="2"/>
        <v/>
      </c>
    </row>
    <row r="31" spans="1:13" x14ac:dyDescent="0.2">
      <c r="A31" s="19">
        <f>IF(DAY(DATE(2026,11+1,0))&gt;=28,DATE(2026,11,28),"")</f>
        <v>46354</v>
      </c>
      <c r="B31" s="16"/>
      <c r="C31" s="16"/>
      <c r="D31" s="16"/>
      <c r="E31" s="12" t="str">
        <f t="shared" si="0"/>
        <v/>
      </c>
      <c r="F31" s="11"/>
      <c r="G31" s="11"/>
      <c r="H31" s="11"/>
      <c r="I31" s="12" t="str">
        <f t="shared" si="1"/>
        <v/>
      </c>
      <c r="J31" s="11"/>
      <c r="K31" s="11"/>
      <c r="L31" s="11"/>
      <c r="M31" s="12" t="str">
        <f t="shared" si="2"/>
        <v/>
      </c>
    </row>
    <row r="32" spans="1:13" x14ac:dyDescent="0.2">
      <c r="A32" s="19">
        <f>IF(DAY(DATE(2026,11+1,0))&gt;=29,DATE(2026,11,29),"")</f>
        <v>46355</v>
      </c>
      <c r="B32" s="16"/>
      <c r="C32" s="16"/>
      <c r="D32" s="16"/>
      <c r="E32" s="12" t="str">
        <f t="shared" si="0"/>
        <v/>
      </c>
      <c r="F32" s="11"/>
      <c r="G32" s="11"/>
      <c r="H32" s="11"/>
      <c r="I32" s="12" t="str">
        <f t="shared" si="1"/>
        <v/>
      </c>
      <c r="J32" s="11"/>
      <c r="K32" s="11"/>
      <c r="L32" s="11"/>
      <c r="M32" s="12" t="str">
        <f t="shared" si="2"/>
        <v/>
      </c>
    </row>
    <row r="33" spans="1:13" x14ac:dyDescent="0.2">
      <c r="A33" s="19">
        <f>IF(DAY(DATE(2026,11+1,0))&gt;=30,DATE(2026,11,30),"")</f>
        <v>46356</v>
      </c>
      <c r="B33" s="16"/>
      <c r="C33" s="16"/>
      <c r="D33" s="16"/>
      <c r="E33" s="12" t="str">
        <f t="shared" si="0"/>
        <v/>
      </c>
      <c r="F33" s="11"/>
      <c r="G33" s="11"/>
      <c r="H33" s="11"/>
      <c r="I33" s="12" t="str">
        <f t="shared" si="1"/>
        <v/>
      </c>
      <c r="J33" s="11"/>
      <c r="K33" s="11"/>
      <c r="L33" s="11"/>
      <c r="M33" s="12" t="str">
        <f t="shared" si="2"/>
        <v/>
      </c>
    </row>
    <row r="34" spans="1:13" x14ac:dyDescent="0.2">
      <c r="A34" s="19" t="str">
        <f>IF(DAY(DATE(2026,11+1,0))&gt;=31,DATE(2026,11,31),"")</f>
        <v/>
      </c>
      <c r="B34" s="16"/>
      <c r="C34" s="16"/>
      <c r="D34" s="16"/>
      <c r="E34" s="12" t="str">
        <f t="shared" si="0"/>
        <v/>
      </c>
      <c r="F34" s="11"/>
      <c r="G34" s="11"/>
      <c r="H34" s="11"/>
      <c r="I34" s="12" t="str">
        <f t="shared" si="1"/>
        <v/>
      </c>
      <c r="J34" s="11"/>
      <c r="K34" s="11"/>
      <c r="L34" s="11"/>
      <c r="M34" s="12" t="str">
        <f t="shared" si="2"/>
        <v/>
      </c>
    </row>
  </sheetData>
  <sheetProtection password="CB1D" sheet="1"/>
  <conditionalFormatting sqref="B4:D34">
    <cfRule type="expression" dxfId="53" priority="23">
      <formula>$E4="Hypertonie Grad 3"</formula>
    </cfRule>
    <cfRule type="expression" dxfId="52" priority="22">
      <formula>$E4="Hypertonie Grad 2"</formula>
    </cfRule>
  </conditionalFormatting>
  <conditionalFormatting sqref="E4:E34">
    <cfRule type="expression" dxfId="51" priority="1">
      <formula>$E4="Zu niedrig"</formula>
    </cfRule>
    <cfRule type="expression" dxfId="50" priority="2">
      <formula>$E4="Optimal"</formula>
    </cfRule>
    <cfRule type="expression" dxfId="49" priority="3">
      <formula>$E4="Normal"</formula>
    </cfRule>
    <cfRule type="expression" dxfId="48" priority="4">
      <formula>$E4="Hoch-normal"</formula>
    </cfRule>
    <cfRule type="expression" dxfId="47" priority="5">
      <formula>$E4="Hypertonie Grad 1"</formula>
    </cfRule>
    <cfRule type="expression" dxfId="46" priority="6">
      <formula>$E4="Hypertonie Grad 2"</formula>
    </cfRule>
    <cfRule type="expression" dxfId="45" priority="7">
      <formula>$E4="Hypertonie Grad 3"</formula>
    </cfRule>
  </conditionalFormatting>
  <conditionalFormatting sqref="F4:H34">
    <cfRule type="expression" dxfId="44" priority="25">
      <formula>$I4="Hypertonie Grad 3"</formula>
    </cfRule>
    <cfRule type="expression" dxfId="43" priority="24">
      <formula>$I4="Hypertonie Grad 2"</formula>
    </cfRule>
  </conditionalFormatting>
  <conditionalFormatting sqref="I4:I34">
    <cfRule type="expression" dxfId="42" priority="14">
      <formula>$I4="Hypertonie Grad 3"</formula>
    </cfRule>
    <cfRule type="expression" dxfId="41" priority="13">
      <formula>$I4="Hypertonie Grad 2"</formula>
    </cfRule>
    <cfRule type="expression" dxfId="40" priority="12">
      <formula>$I4="Hypertonie Grad 1"</formula>
    </cfRule>
    <cfRule type="expression" dxfId="39" priority="11">
      <formula>$I4="Hoch-normal"</formula>
    </cfRule>
    <cfRule type="expression" dxfId="38" priority="10">
      <formula>$I4="Normal"</formula>
    </cfRule>
    <cfRule type="expression" dxfId="37" priority="9">
      <formula>$I4="Optimal"</formula>
    </cfRule>
    <cfRule type="expression" dxfId="36" priority="8">
      <formula>$I4="Zu niedrig"</formula>
    </cfRule>
  </conditionalFormatting>
  <conditionalFormatting sqref="J4:L34">
    <cfRule type="expression" dxfId="35" priority="26">
      <formula>$M4="Hypertonie Grad 2"</formula>
    </cfRule>
    <cfRule type="expression" dxfId="34" priority="27">
      <formula>$M4="Hypertonie Grad 3"</formula>
    </cfRule>
  </conditionalFormatting>
  <conditionalFormatting sqref="M4:M34">
    <cfRule type="expression" dxfId="33" priority="15">
      <formula>$M4="Zu niedrig"</formula>
    </cfRule>
    <cfRule type="expression" dxfId="32" priority="16">
      <formula>$M4="Optimal"</formula>
    </cfRule>
    <cfRule type="expression" dxfId="31" priority="17">
      <formula>$M4="Normal"</formula>
    </cfRule>
    <cfRule type="expression" dxfId="30" priority="18">
      <formula>$M4="Hoch-normal"</formula>
    </cfRule>
    <cfRule type="expression" dxfId="29" priority="19">
      <formula>$M4="Hypertonie Grad 1"</formula>
    </cfRule>
    <cfRule type="expression" dxfId="28" priority="20">
      <formula>$M4="Hypertonie Grad 2"</formula>
    </cfRule>
    <cfRule type="expression" dxfId="27" priority="21">
      <formula>$M4="Hypertonie Grad 3"</formula>
    </cfRule>
  </conditionalFormatting>
  <printOptions horizontalCentered="1"/>
  <pageMargins left="0.4" right="0.4" top="0.6" bottom="0.6" header="0.5" footer="0.5"/>
  <pageSetup paperSize="9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34"/>
  <sheetViews>
    <sheetView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2" customWidth="1"/>
    <col min="2" max="2" width="9" customWidth="1"/>
    <col min="3" max="3" width="10" customWidth="1"/>
    <col min="4" max="4" width="8" customWidth="1"/>
    <col min="5" max="5" width="15" customWidth="1"/>
    <col min="6" max="6" width="16" customWidth="1"/>
    <col min="7" max="7" width="10" customWidth="1"/>
    <col min="8" max="8" width="8" customWidth="1"/>
    <col min="9" max="9" width="15" customWidth="1"/>
    <col min="10" max="10" width="9" customWidth="1"/>
    <col min="11" max="11" width="10" customWidth="1"/>
    <col min="12" max="12" width="8" customWidth="1"/>
    <col min="13" max="13" width="15" customWidth="1"/>
  </cols>
  <sheetData>
    <row r="1" spans="1:13" x14ac:dyDescent="0.2">
      <c r="A1" s="10" t="s">
        <v>56</v>
      </c>
      <c r="B1" s="11">
        <v>2026</v>
      </c>
      <c r="D1" s="10" t="s">
        <v>31</v>
      </c>
      <c r="E1" s="11">
        <v>12</v>
      </c>
    </row>
    <row r="2" spans="1:13" x14ac:dyDescent="0.2">
      <c r="B2" s="13" t="str">
        <f>IF(Jahresübersicht!A6="","",Jahresübersicht!A6)</f>
        <v/>
      </c>
      <c r="D2" s="13" t="str">
        <f>IF(Jahresübersicht!C6="","",Jahresübersicht!C6)</f>
        <v/>
      </c>
      <c r="F2" s="14" t="str">
        <f>IF(Jahresübersicht!E6="","",Jahresübersicht!E6)</f>
        <v/>
      </c>
      <c r="H2" s="18"/>
      <c r="I2" s="15" t="s">
        <v>57</v>
      </c>
    </row>
    <row r="3" spans="1:13" ht="16" x14ac:dyDescent="0.2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7" t="s">
        <v>63</v>
      </c>
      <c r="G3" s="17" t="s">
        <v>64</v>
      </c>
      <c r="H3" s="17" t="s">
        <v>65</v>
      </c>
      <c r="I3" s="1" t="s">
        <v>66</v>
      </c>
      <c r="J3" s="17" t="s">
        <v>67</v>
      </c>
      <c r="K3" s="17" t="s">
        <v>68</v>
      </c>
      <c r="L3" s="17" t="s">
        <v>69</v>
      </c>
      <c r="M3" s="1" t="s">
        <v>70</v>
      </c>
    </row>
    <row r="4" spans="1:13" x14ac:dyDescent="0.2">
      <c r="A4" s="19">
        <f>IF(DAY(DATE(2026,12+1,0))&gt;=1,DATE(2026,12,1),"")</f>
        <v>46357</v>
      </c>
      <c r="B4" s="16"/>
      <c r="C4" s="16"/>
      <c r="D4" s="16"/>
      <c r="E4" s="12" t="str">
        <f t="shared" ref="E4:E34" si="0">IF(OR(B4="",C4=""),"",IF(OR(B4&lt;90,C4&lt;60),"Zu niedrig",IF(AND(B4&lt;120,C4&lt;80),"Optimal",IF(AND(B4&lt;130,C4&lt;85),"Normal",IF(AND(B4&lt;140,C4&lt;90),"Hoch-normal",IF(AND(B4&lt;160,C4&lt;100),"Hypertonie Grad 1",IF(AND(B4&lt;180,C4&lt;110),"Hypertonie Grad 2","Hypertonie Grad 3")))))))</f>
        <v/>
      </c>
      <c r="F4" s="11"/>
      <c r="G4" s="11"/>
      <c r="H4" s="11"/>
      <c r="I4" s="12" t="str">
        <f t="shared" ref="I4:I34" si="1">IF(OR(F4="",G4=""),"",IF(OR(F4&lt;90,G4&lt;60),"Zu niedrig",IF(AND(F4&lt;120,G4&lt;80),"Optimal",IF(AND(F4&lt;130,G4&lt;85),"Normal",IF(AND(F4&lt;140,G4&lt;90),"Hoch-normal",IF(AND(F4&lt;160,G4&lt;100),"Hypertonie Grad 1",IF(AND(F4&lt;180,G4&lt;110),"Hypertonie Grad 2","Hypertonie Grad 3")))))))</f>
        <v/>
      </c>
      <c r="J4" s="11"/>
      <c r="K4" s="11"/>
      <c r="L4" s="11"/>
      <c r="M4" s="12" t="str">
        <f t="shared" ref="M4:M34" si="2">IF(OR(J4="",K4=""),"",IF(OR(J4&lt;90,K4&lt;60),"Zu niedrig",IF(AND(J4&lt;120,K4&lt;80),"Optimal",IF(AND(J4&lt;130,K4&lt;85),"Normal",IF(AND(J4&lt;140,K4&lt;90),"Hoch-normal",IF(AND(J4&lt;160,K4&lt;100),"Hypertonie Grad 1",IF(AND(J4&lt;180,K4&lt;110),"Hypertonie Grad 2","Hypertonie Grad 3")))))))</f>
        <v/>
      </c>
    </row>
    <row r="5" spans="1:13" x14ac:dyDescent="0.2">
      <c r="A5" s="19">
        <f>IF(DAY(DATE(2026,12+1,0))&gt;=2,DATE(2026,12,2),"")</f>
        <v>46358</v>
      </c>
      <c r="B5" s="16"/>
      <c r="C5" s="16"/>
      <c r="D5" s="16"/>
      <c r="E5" s="12" t="str">
        <f t="shared" si="0"/>
        <v/>
      </c>
      <c r="F5" s="11"/>
      <c r="G5" s="11"/>
      <c r="H5" s="11"/>
      <c r="I5" s="12" t="str">
        <f t="shared" si="1"/>
        <v/>
      </c>
      <c r="J5" s="11"/>
      <c r="K5" s="11"/>
      <c r="L5" s="11"/>
      <c r="M5" s="12" t="str">
        <f t="shared" si="2"/>
        <v/>
      </c>
    </row>
    <row r="6" spans="1:13" x14ac:dyDescent="0.2">
      <c r="A6" s="19">
        <f>IF(DAY(DATE(2026,12+1,0))&gt;=3,DATE(2026,12,3),"")</f>
        <v>46359</v>
      </c>
      <c r="B6" s="16"/>
      <c r="C6" s="16"/>
      <c r="D6" s="16"/>
      <c r="E6" s="12" t="str">
        <f t="shared" si="0"/>
        <v/>
      </c>
      <c r="F6" s="11"/>
      <c r="G6" s="11"/>
      <c r="H6" s="11"/>
      <c r="I6" s="12" t="str">
        <f t="shared" si="1"/>
        <v/>
      </c>
      <c r="J6" s="11"/>
      <c r="K6" s="11"/>
      <c r="L6" s="11"/>
      <c r="M6" s="12" t="str">
        <f t="shared" si="2"/>
        <v/>
      </c>
    </row>
    <row r="7" spans="1:13" x14ac:dyDescent="0.2">
      <c r="A7" s="19">
        <f>IF(DAY(DATE(2026,12+1,0))&gt;=4,DATE(2026,12,4),"")</f>
        <v>46360</v>
      </c>
      <c r="B7" s="16"/>
      <c r="C7" s="16"/>
      <c r="D7" s="16"/>
      <c r="E7" s="12" t="str">
        <f t="shared" si="0"/>
        <v/>
      </c>
      <c r="F7" s="11"/>
      <c r="G7" s="11"/>
      <c r="H7" s="11"/>
      <c r="I7" s="12" t="str">
        <f t="shared" si="1"/>
        <v/>
      </c>
      <c r="J7" s="11"/>
      <c r="K7" s="11"/>
      <c r="L7" s="11"/>
      <c r="M7" s="12" t="str">
        <f t="shared" si="2"/>
        <v/>
      </c>
    </row>
    <row r="8" spans="1:13" x14ac:dyDescent="0.2">
      <c r="A8" s="19">
        <f>IF(DAY(DATE(2026,12+1,0))&gt;=5,DATE(2026,12,5),"")</f>
        <v>46361</v>
      </c>
      <c r="B8" s="16"/>
      <c r="C8" s="16"/>
      <c r="D8" s="16"/>
      <c r="E8" s="12" t="str">
        <f t="shared" si="0"/>
        <v/>
      </c>
      <c r="F8" s="11"/>
      <c r="G8" s="11"/>
      <c r="H8" s="11"/>
      <c r="I8" s="12" t="str">
        <f t="shared" si="1"/>
        <v/>
      </c>
      <c r="J8" s="11"/>
      <c r="K8" s="11"/>
      <c r="L8" s="11"/>
      <c r="M8" s="12" t="str">
        <f t="shared" si="2"/>
        <v/>
      </c>
    </row>
    <row r="9" spans="1:13" x14ac:dyDescent="0.2">
      <c r="A9" s="19">
        <f>IF(DAY(DATE(2026,12+1,0))&gt;=6,DATE(2026,12,6),"")</f>
        <v>46362</v>
      </c>
      <c r="B9" s="16"/>
      <c r="C9" s="16"/>
      <c r="D9" s="16"/>
      <c r="E9" s="12" t="str">
        <f t="shared" si="0"/>
        <v/>
      </c>
      <c r="F9" s="11"/>
      <c r="G9" s="11"/>
      <c r="H9" s="11"/>
      <c r="I9" s="12" t="str">
        <f t="shared" si="1"/>
        <v/>
      </c>
      <c r="J9" s="11"/>
      <c r="K9" s="11"/>
      <c r="L9" s="11"/>
      <c r="M9" s="12" t="str">
        <f t="shared" si="2"/>
        <v/>
      </c>
    </row>
    <row r="10" spans="1:13" x14ac:dyDescent="0.2">
      <c r="A10" s="19">
        <f>IF(DAY(DATE(2026,12+1,0))&gt;=7,DATE(2026,12,7),"")</f>
        <v>46363</v>
      </c>
      <c r="B10" s="16"/>
      <c r="C10" s="16"/>
      <c r="D10" s="16"/>
      <c r="E10" s="12" t="str">
        <f t="shared" si="0"/>
        <v/>
      </c>
      <c r="F10" s="11"/>
      <c r="G10" s="11"/>
      <c r="H10" s="11"/>
      <c r="I10" s="12" t="str">
        <f t="shared" si="1"/>
        <v/>
      </c>
      <c r="J10" s="11"/>
      <c r="K10" s="11"/>
      <c r="L10" s="11"/>
      <c r="M10" s="12" t="str">
        <f t="shared" si="2"/>
        <v/>
      </c>
    </row>
    <row r="11" spans="1:13" x14ac:dyDescent="0.2">
      <c r="A11" s="19">
        <f>IF(DAY(DATE(2026,12+1,0))&gt;=8,DATE(2026,12,8),"")</f>
        <v>46364</v>
      </c>
      <c r="B11" s="16"/>
      <c r="C11" s="16"/>
      <c r="D11" s="16"/>
      <c r="E11" s="12" t="str">
        <f t="shared" si="0"/>
        <v/>
      </c>
      <c r="F11" s="11"/>
      <c r="G11" s="11"/>
      <c r="H11" s="11"/>
      <c r="I11" s="12" t="str">
        <f t="shared" si="1"/>
        <v/>
      </c>
      <c r="J11" s="11"/>
      <c r="K11" s="11"/>
      <c r="L11" s="11"/>
      <c r="M11" s="12" t="str">
        <f t="shared" si="2"/>
        <v/>
      </c>
    </row>
    <row r="12" spans="1:13" x14ac:dyDescent="0.2">
      <c r="A12" s="19">
        <f>IF(DAY(DATE(2026,12+1,0))&gt;=9,DATE(2026,12,9),"")</f>
        <v>46365</v>
      </c>
      <c r="B12" s="16"/>
      <c r="C12" s="16"/>
      <c r="D12" s="16"/>
      <c r="E12" s="12" t="str">
        <f t="shared" si="0"/>
        <v/>
      </c>
      <c r="F12" s="11"/>
      <c r="G12" s="11"/>
      <c r="H12" s="11"/>
      <c r="I12" s="12" t="str">
        <f t="shared" si="1"/>
        <v/>
      </c>
      <c r="J12" s="11"/>
      <c r="K12" s="11"/>
      <c r="L12" s="11"/>
      <c r="M12" s="12" t="str">
        <f t="shared" si="2"/>
        <v/>
      </c>
    </row>
    <row r="13" spans="1:13" x14ac:dyDescent="0.2">
      <c r="A13" s="19">
        <f>IF(DAY(DATE(2026,12+1,0))&gt;=10,DATE(2026,12,10),"")</f>
        <v>46366</v>
      </c>
      <c r="B13" s="16"/>
      <c r="C13" s="16"/>
      <c r="D13" s="16"/>
      <c r="E13" s="12" t="str">
        <f t="shared" si="0"/>
        <v/>
      </c>
      <c r="F13" s="11"/>
      <c r="G13" s="11"/>
      <c r="H13" s="11"/>
      <c r="I13" s="12" t="str">
        <f t="shared" si="1"/>
        <v/>
      </c>
      <c r="J13" s="11"/>
      <c r="K13" s="11"/>
      <c r="L13" s="11"/>
      <c r="M13" s="12" t="str">
        <f t="shared" si="2"/>
        <v/>
      </c>
    </row>
    <row r="14" spans="1:13" x14ac:dyDescent="0.2">
      <c r="A14" s="19">
        <f>IF(DAY(DATE(2026,12+1,0))&gt;=11,DATE(2026,12,11),"")</f>
        <v>46367</v>
      </c>
      <c r="B14" s="16"/>
      <c r="C14" s="16"/>
      <c r="D14" s="16"/>
      <c r="E14" s="12" t="str">
        <f t="shared" si="0"/>
        <v/>
      </c>
      <c r="F14" s="11"/>
      <c r="G14" s="11"/>
      <c r="H14" s="11"/>
      <c r="I14" s="12" t="str">
        <f t="shared" si="1"/>
        <v/>
      </c>
      <c r="J14" s="11"/>
      <c r="K14" s="11"/>
      <c r="L14" s="11"/>
      <c r="M14" s="12" t="str">
        <f t="shared" si="2"/>
        <v/>
      </c>
    </row>
    <row r="15" spans="1:13" x14ac:dyDescent="0.2">
      <c r="A15" s="19">
        <f>IF(DAY(DATE(2026,12+1,0))&gt;=12,DATE(2026,12,12),"")</f>
        <v>46368</v>
      </c>
      <c r="B15" s="16"/>
      <c r="C15" s="16"/>
      <c r="D15" s="16"/>
      <c r="E15" s="12" t="str">
        <f t="shared" si="0"/>
        <v/>
      </c>
      <c r="F15" s="11"/>
      <c r="G15" s="11"/>
      <c r="H15" s="11"/>
      <c r="I15" s="12" t="str">
        <f t="shared" si="1"/>
        <v/>
      </c>
      <c r="J15" s="11"/>
      <c r="K15" s="11"/>
      <c r="L15" s="11"/>
      <c r="M15" s="12" t="str">
        <f t="shared" si="2"/>
        <v/>
      </c>
    </row>
    <row r="16" spans="1:13" x14ac:dyDescent="0.2">
      <c r="A16" s="19">
        <f>IF(DAY(DATE(2026,12+1,0))&gt;=13,DATE(2026,12,13),"")</f>
        <v>46369</v>
      </c>
      <c r="B16" s="16"/>
      <c r="C16" s="16"/>
      <c r="D16" s="16"/>
      <c r="E16" s="12" t="str">
        <f t="shared" si="0"/>
        <v/>
      </c>
      <c r="F16" s="11"/>
      <c r="G16" s="11"/>
      <c r="H16" s="11"/>
      <c r="I16" s="12" t="str">
        <f t="shared" si="1"/>
        <v/>
      </c>
      <c r="J16" s="11"/>
      <c r="K16" s="11"/>
      <c r="L16" s="11"/>
      <c r="M16" s="12" t="str">
        <f t="shared" si="2"/>
        <v/>
      </c>
    </row>
    <row r="17" spans="1:13" x14ac:dyDescent="0.2">
      <c r="A17" s="19">
        <f>IF(DAY(DATE(2026,12+1,0))&gt;=14,DATE(2026,12,14),"")</f>
        <v>46370</v>
      </c>
      <c r="B17" s="16"/>
      <c r="C17" s="16"/>
      <c r="D17" s="16"/>
      <c r="E17" s="12" t="str">
        <f t="shared" si="0"/>
        <v/>
      </c>
      <c r="F17" s="11"/>
      <c r="G17" s="11"/>
      <c r="H17" s="11"/>
      <c r="I17" s="12" t="str">
        <f t="shared" si="1"/>
        <v/>
      </c>
      <c r="J17" s="11"/>
      <c r="K17" s="11"/>
      <c r="L17" s="11"/>
      <c r="M17" s="12" t="str">
        <f t="shared" si="2"/>
        <v/>
      </c>
    </row>
    <row r="18" spans="1:13" x14ac:dyDescent="0.2">
      <c r="A18" s="19">
        <f>IF(DAY(DATE(2026,12+1,0))&gt;=15,DATE(2026,12,15),"")</f>
        <v>46371</v>
      </c>
      <c r="B18" s="16"/>
      <c r="C18" s="16"/>
      <c r="D18" s="16"/>
      <c r="E18" s="12" t="str">
        <f t="shared" si="0"/>
        <v/>
      </c>
      <c r="F18" s="11"/>
      <c r="G18" s="11"/>
      <c r="H18" s="11"/>
      <c r="I18" s="12" t="str">
        <f t="shared" si="1"/>
        <v/>
      </c>
      <c r="J18" s="11"/>
      <c r="K18" s="11"/>
      <c r="L18" s="11"/>
      <c r="M18" s="12" t="str">
        <f t="shared" si="2"/>
        <v/>
      </c>
    </row>
    <row r="19" spans="1:13" x14ac:dyDescent="0.2">
      <c r="A19" s="19">
        <f>IF(DAY(DATE(2026,12+1,0))&gt;=16,DATE(2026,12,16),"")</f>
        <v>46372</v>
      </c>
      <c r="B19" s="16"/>
      <c r="C19" s="16"/>
      <c r="D19" s="16"/>
      <c r="E19" s="12" t="str">
        <f t="shared" si="0"/>
        <v/>
      </c>
      <c r="F19" s="11"/>
      <c r="G19" s="11"/>
      <c r="H19" s="11"/>
      <c r="I19" s="12" t="str">
        <f t="shared" si="1"/>
        <v/>
      </c>
      <c r="J19" s="11"/>
      <c r="K19" s="11"/>
      <c r="L19" s="11"/>
      <c r="M19" s="12" t="str">
        <f t="shared" si="2"/>
        <v/>
      </c>
    </row>
    <row r="20" spans="1:13" x14ac:dyDescent="0.2">
      <c r="A20" s="19">
        <f>IF(DAY(DATE(2026,12+1,0))&gt;=17,DATE(2026,12,17),"")</f>
        <v>46373</v>
      </c>
      <c r="B20" s="16"/>
      <c r="C20" s="16"/>
      <c r="D20" s="16"/>
      <c r="E20" s="12" t="str">
        <f t="shared" si="0"/>
        <v/>
      </c>
      <c r="F20" s="11"/>
      <c r="G20" s="11"/>
      <c r="H20" s="11"/>
      <c r="I20" s="12" t="str">
        <f t="shared" si="1"/>
        <v/>
      </c>
      <c r="J20" s="11"/>
      <c r="K20" s="11"/>
      <c r="L20" s="11"/>
      <c r="M20" s="12" t="str">
        <f t="shared" si="2"/>
        <v/>
      </c>
    </row>
    <row r="21" spans="1:13" x14ac:dyDescent="0.2">
      <c r="A21" s="19">
        <f>IF(DAY(DATE(2026,12+1,0))&gt;=18,DATE(2026,12,18),"")</f>
        <v>46374</v>
      </c>
      <c r="B21" s="16"/>
      <c r="C21" s="16"/>
      <c r="D21" s="16"/>
      <c r="E21" s="12" t="str">
        <f t="shared" si="0"/>
        <v/>
      </c>
      <c r="F21" s="11"/>
      <c r="G21" s="11"/>
      <c r="H21" s="11"/>
      <c r="I21" s="12" t="str">
        <f t="shared" si="1"/>
        <v/>
      </c>
      <c r="J21" s="11"/>
      <c r="K21" s="11"/>
      <c r="L21" s="11"/>
      <c r="M21" s="12" t="str">
        <f t="shared" si="2"/>
        <v/>
      </c>
    </row>
    <row r="22" spans="1:13" x14ac:dyDescent="0.2">
      <c r="A22" s="19">
        <f>IF(DAY(DATE(2026,12+1,0))&gt;=19,DATE(2026,12,19),"")</f>
        <v>46375</v>
      </c>
      <c r="B22" s="16"/>
      <c r="C22" s="16"/>
      <c r="D22" s="16"/>
      <c r="E22" s="12" t="str">
        <f t="shared" si="0"/>
        <v/>
      </c>
      <c r="F22" s="11"/>
      <c r="G22" s="11"/>
      <c r="H22" s="11"/>
      <c r="I22" s="12" t="str">
        <f t="shared" si="1"/>
        <v/>
      </c>
      <c r="J22" s="11"/>
      <c r="K22" s="11"/>
      <c r="L22" s="11"/>
      <c r="M22" s="12" t="str">
        <f t="shared" si="2"/>
        <v/>
      </c>
    </row>
    <row r="23" spans="1:13" x14ac:dyDescent="0.2">
      <c r="A23" s="19">
        <f>IF(DAY(DATE(2026,12+1,0))&gt;=20,DATE(2026,12,20),"")</f>
        <v>46376</v>
      </c>
      <c r="B23" s="16"/>
      <c r="C23" s="16"/>
      <c r="D23" s="16"/>
      <c r="E23" s="12" t="str">
        <f t="shared" si="0"/>
        <v/>
      </c>
      <c r="F23" s="11"/>
      <c r="G23" s="11"/>
      <c r="H23" s="11"/>
      <c r="I23" s="12" t="str">
        <f t="shared" si="1"/>
        <v/>
      </c>
      <c r="J23" s="11"/>
      <c r="K23" s="11"/>
      <c r="L23" s="11"/>
      <c r="M23" s="12" t="str">
        <f t="shared" si="2"/>
        <v/>
      </c>
    </row>
    <row r="24" spans="1:13" x14ac:dyDescent="0.2">
      <c r="A24" s="19">
        <f>IF(DAY(DATE(2026,12+1,0))&gt;=21,DATE(2026,12,21),"")</f>
        <v>46377</v>
      </c>
      <c r="B24" s="16"/>
      <c r="C24" s="16"/>
      <c r="D24" s="16"/>
      <c r="E24" s="12" t="str">
        <f t="shared" si="0"/>
        <v/>
      </c>
      <c r="F24" s="11"/>
      <c r="G24" s="11"/>
      <c r="H24" s="11"/>
      <c r="I24" s="12" t="str">
        <f t="shared" si="1"/>
        <v/>
      </c>
      <c r="J24" s="11"/>
      <c r="K24" s="11"/>
      <c r="L24" s="11"/>
      <c r="M24" s="12" t="str">
        <f t="shared" si="2"/>
        <v/>
      </c>
    </row>
    <row r="25" spans="1:13" x14ac:dyDescent="0.2">
      <c r="A25" s="19">
        <f>IF(DAY(DATE(2026,12+1,0))&gt;=22,DATE(2026,12,22),"")</f>
        <v>46378</v>
      </c>
      <c r="B25" s="16"/>
      <c r="C25" s="16"/>
      <c r="D25" s="16"/>
      <c r="E25" s="12" t="str">
        <f t="shared" si="0"/>
        <v/>
      </c>
      <c r="F25" s="11"/>
      <c r="G25" s="11"/>
      <c r="H25" s="11"/>
      <c r="I25" s="12" t="str">
        <f t="shared" si="1"/>
        <v/>
      </c>
      <c r="J25" s="11"/>
      <c r="K25" s="11"/>
      <c r="L25" s="11"/>
      <c r="M25" s="12" t="str">
        <f t="shared" si="2"/>
        <v/>
      </c>
    </row>
    <row r="26" spans="1:13" x14ac:dyDescent="0.2">
      <c r="A26" s="19">
        <f>IF(DAY(DATE(2026,12+1,0))&gt;=23,DATE(2026,12,23),"")</f>
        <v>46379</v>
      </c>
      <c r="B26" s="16"/>
      <c r="C26" s="16"/>
      <c r="D26" s="16"/>
      <c r="E26" s="12" t="str">
        <f t="shared" si="0"/>
        <v/>
      </c>
      <c r="F26" s="11"/>
      <c r="G26" s="11"/>
      <c r="H26" s="11"/>
      <c r="I26" s="12" t="str">
        <f t="shared" si="1"/>
        <v/>
      </c>
      <c r="J26" s="11"/>
      <c r="K26" s="11"/>
      <c r="L26" s="11"/>
      <c r="M26" s="12" t="str">
        <f t="shared" si="2"/>
        <v/>
      </c>
    </row>
    <row r="27" spans="1:13" x14ac:dyDescent="0.2">
      <c r="A27" s="19">
        <f>IF(DAY(DATE(2026,12+1,0))&gt;=24,DATE(2026,12,24),"")</f>
        <v>46380</v>
      </c>
      <c r="B27" s="16"/>
      <c r="C27" s="16"/>
      <c r="D27" s="16"/>
      <c r="E27" s="12" t="str">
        <f t="shared" si="0"/>
        <v/>
      </c>
      <c r="F27" s="11"/>
      <c r="G27" s="11"/>
      <c r="H27" s="11"/>
      <c r="I27" s="12" t="str">
        <f t="shared" si="1"/>
        <v/>
      </c>
      <c r="J27" s="11"/>
      <c r="K27" s="11"/>
      <c r="L27" s="11"/>
      <c r="M27" s="12" t="str">
        <f t="shared" si="2"/>
        <v/>
      </c>
    </row>
    <row r="28" spans="1:13" x14ac:dyDescent="0.2">
      <c r="A28" s="19">
        <f>IF(DAY(DATE(2026,12+1,0))&gt;=25,DATE(2026,12,25),"")</f>
        <v>46381</v>
      </c>
      <c r="B28" s="16"/>
      <c r="C28" s="16"/>
      <c r="D28" s="16"/>
      <c r="E28" s="12" t="str">
        <f t="shared" si="0"/>
        <v/>
      </c>
      <c r="F28" s="11"/>
      <c r="G28" s="11"/>
      <c r="H28" s="11"/>
      <c r="I28" s="12" t="str">
        <f t="shared" si="1"/>
        <v/>
      </c>
      <c r="J28" s="11"/>
      <c r="K28" s="11"/>
      <c r="L28" s="11"/>
      <c r="M28" s="12" t="str">
        <f t="shared" si="2"/>
        <v/>
      </c>
    </row>
    <row r="29" spans="1:13" x14ac:dyDescent="0.2">
      <c r="A29" s="19">
        <f>IF(DAY(DATE(2026,12+1,0))&gt;=26,DATE(2026,12,26),"")</f>
        <v>46382</v>
      </c>
      <c r="B29" s="16"/>
      <c r="C29" s="16"/>
      <c r="D29" s="16"/>
      <c r="E29" s="12" t="str">
        <f t="shared" si="0"/>
        <v/>
      </c>
      <c r="F29" s="11"/>
      <c r="G29" s="11"/>
      <c r="H29" s="11"/>
      <c r="I29" s="12" t="str">
        <f t="shared" si="1"/>
        <v/>
      </c>
      <c r="J29" s="11"/>
      <c r="K29" s="11"/>
      <c r="L29" s="11"/>
      <c r="M29" s="12" t="str">
        <f t="shared" si="2"/>
        <v/>
      </c>
    </row>
    <row r="30" spans="1:13" x14ac:dyDescent="0.2">
      <c r="A30" s="19">
        <f>IF(DAY(DATE(2026,12+1,0))&gt;=27,DATE(2026,12,27),"")</f>
        <v>46383</v>
      </c>
      <c r="B30" s="16"/>
      <c r="C30" s="16"/>
      <c r="D30" s="16"/>
      <c r="E30" s="12" t="str">
        <f t="shared" si="0"/>
        <v/>
      </c>
      <c r="F30" s="11"/>
      <c r="G30" s="11"/>
      <c r="H30" s="11"/>
      <c r="I30" s="12" t="str">
        <f t="shared" si="1"/>
        <v/>
      </c>
      <c r="J30" s="11"/>
      <c r="K30" s="11"/>
      <c r="L30" s="11"/>
      <c r="M30" s="12" t="str">
        <f t="shared" si="2"/>
        <v/>
      </c>
    </row>
    <row r="31" spans="1:13" x14ac:dyDescent="0.2">
      <c r="A31" s="19">
        <f>IF(DAY(DATE(2026,12+1,0))&gt;=28,DATE(2026,12,28),"")</f>
        <v>46384</v>
      </c>
      <c r="B31" s="16"/>
      <c r="C31" s="16"/>
      <c r="D31" s="16"/>
      <c r="E31" s="12" t="str">
        <f t="shared" si="0"/>
        <v/>
      </c>
      <c r="F31" s="11"/>
      <c r="G31" s="11"/>
      <c r="H31" s="11"/>
      <c r="I31" s="12" t="str">
        <f t="shared" si="1"/>
        <v/>
      </c>
      <c r="J31" s="11"/>
      <c r="K31" s="11"/>
      <c r="L31" s="11"/>
      <c r="M31" s="12" t="str">
        <f t="shared" si="2"/>
        <v/>
      </c>
    </row>
    <row r="32" spans="1:13" x14ac:dyDescent="0.2">
      <c r="A32" s="19">
        <f>IF(DAY(DATE(2026,12+1,0))&gt;=29,DATE(2026,12,29),"")</f>
        <v>46385</v>
      </c>
      <c r="B32" s="16"/>
      <c r="C32" s="16"/>
      <c r="D32" s="16"/>
      <c r="E32" s="12" t="str">
        <f t="shared" si="0"/>
        <v/>
      </c>
      <c r="F32" s="11"/>
      <c r="G32" s="11"/>
      <c r="H32" s="11"/>
      <c r="I32" s="12" t="str">
        <f t="shared" si="1"/>
        <v/>
      </c>
      <c r="J32" s="11"/>
      <c r="K32" s="11"/>
      <c r="L32" s="11"/>
      <c r="M32" s="12" t="str">
        <f t="shared" si="2"/>
        <v/>
      </c>
    </row>
    <row r="33" spans="1:13" x14ac:dyDescent="0.2">
      <c r="A33" s="19">
        <f>IF(DAY(DATE(2026,12+1,0))&gt;=30,DATE(2026,12,30),"")</f>
        <v>46386</v>
      </c>
      <c r="B33" s="16"/>
      <c r="C33" s="16"/>
      <c r="D33" s="16"/>
      <c r="E33" s="12" t="str">
        <f t="shared" si="0"/>
        <v/>
      </c>
      <c r="F33" s="11"/>
      <c r="G33" s="11"/>
      <c r="H33" s="11"/>
      <c r="I33" s="12" t="str">
        <f t="shared" si="1"/>
        <v/>
      </c>
      <c r="J33" s="11"/>
      <c r="K33" s="11"/>
      <c r="L33" s="11"/>
      <c r="M33" s="12" t="str">
        <f t="shared" si="2"/>
        <v/>
      </c>
    </row>
    <row r="34" spans="1:13" x14ac:dyDescent="0.2">
      <c r="A34" s="19">
        <f>IF(DAY(DATE(2026,12+1,0))&gt;=31,DATE(2026,12,31),"")</f>
        <v>46387</v>
      </c>
      <c r="B34" s="16"/>
      <c r="C34" s="16"/>
      <c r="D34" s="16"/>
      <c r="E34" s="12" t="str">
        <f t="shared" si="0"/>
        <v/>
      </c>
      <c r="F34" s="11"/>
      <c r="G34" s="11"/>
      <c r="H34" s="11"/>
      <c r="I34" s="12" t="str">
        <f t="shared" si="1"/>
        <v/>
      </c>
      <c r="J34" s="11"/>
      <c r="K34" s="11"/>
      <c r="L34" s="11"/>
      <c r="M34" s="12" t="str">
        <f t="shared" si="2"/>
        <v/>
      </c>
    </row>
  </sheetData>
  <sheetProtection password="CB1D" sheet="1"/>
  <conditionalFormatting sqref="B4:D34">
    <cfRule type="expression" dxfId="26" priority="23">
      <formula>$E4="Hypertonie Grad 3"</formula>
    </cfRule>
    <cfRule type="expression" dxfId="25" priority="22">
      <formula>$E4="Hypertonie Grad 2"</formula>
    </cfRule>
  </conditionalFormatting>
  <conditionalFormatting sqref="E4:E34">
    <cfRule type="expression" dxfId="24" priority="1">
      <formula>$E4="Zu niedrig"</formula>
    </cfRule>
    <cfRule type="expression" dxfId="23" priority="2">
      <formula>$E4="Optimal"</formula>
    </cfRule>
    <cfRule type="expression" dxfId="22" priority="3">
      <formula>$E4="Normal"</formula>
    </cfRule>
    <cfRule type="expression" dxfId="21" priority="4">
      <formula>$E4="Hoch-normal"</formula>
    </cfRule>
    <cfRule type="expression" dxfId="20" priority="5">
      <formula>$E4="Hypertonie Grad 1"</formula>
    </cfRule>
    <cfRule type="expression" dxfId="19" priority="6">
      <formula>$E4="Hypertonie Grad 2"</formula>
    </cfRule>
    <cfRule type="expression" dxfId="18" priority="7">
      <formula>$E4="Hypertonie Grad 3"</formula>
    </cfRule>
  </conditionalFormatting>
  <conditionalFormatting sqref="F4:H34">
    <cfRule type="expression" dxfId="17" priority="25">
      <formula>$I4="Hypertonie Grad 3"</formula>
    </cfRule>
    <cfRule type="expression" dxfId="16" priority="24">
      <formula>$I4="Hypertonie Grad 2"</formula>
    </cfRule>
  </conditionalFormatting>
  <conditionalFormatting sqref="I4:I34">
    <cfRule type="expression" dxfId="15" priority="14">
      <formula>$I4="Hypertonie Grad 3"</formula>
    </cfRule>
    <cfRule type="expression" dxfId="14" priority="13">
      <formula>$I4="Hypertonie Grad 2"</formula>
    </cfRule>
    <cfRule type="expression" dxfId="13" priority="12">
      <formula>$I4="Hypertonie Grad 1"</formula>
    </cfRule>
    <cfRule type="expression" dxfId="12" priority="11">
      <formula>$I4="Hoch-normal"</formula>
    </cfRule>
    <cfRule type="expression" dxfId="11" priority="10">
      <formula>$I4="Normal"</formula>
    </cfRule>
    <cfRule type="expression" dxfId="10" priority="9">
      <formula>$I4="Optimal"</formula>
    </cfRule>
    <cfRule type="expression" dxfId="9" priority="8">
      <formula>$I4="Zu niedrig"</formula>
    </cfRule>
  </conditionalFormatting>
  <conditionalFormatting sqref="J4:L34">
    <cfRule type="expression" dxfId="8" priority="26">
      <formula>$M4="Hypertonie Grad 2"</formula>
    </cfRule>
    <cfRule type="expression" dxfId="7" priority="27">
      <formula>$M4="Hypertonie Grad 3"</formula>
    </cfRule>
  </conditionalFormatting>
  <conditionalFormatting sqref="M4:M34">
    <cfRule type="expression" dxfId="6" priority="15">
      <formula>$M4="Zu niedrig"</formula>
    </cfRule>
    <cfRule type="expression" dxfId="5" priority="16">
      <formula>$M4="Optimal"</formula>
    </cfRule>
    <cfRule type="expression" dxfId="4" priority="17">
      <formula>$M4="Normal"</formula>
    </cfRule>
    <cfRule type="expression" dxfId="3" priority="18">
      <formula>$M4="Hoch-normal"</formula>
    </cfRule>
    <cfRule type="expression" dxfId="2" priority="19">
      <formula>$M4="Hypertonie Grad 1"</formula>
    </cfRule>
    <cfRule type="expression" dxfId="1" priority="20">
      <formula>$M4="Hypertonie Grad 2"</formula>
    </cfRule>
    <cfRule type="expression" dxfId="0" priority="21">
      <formula>$M4="Hypertonie Grad 3"</formula>
    </cfRule>
  </conditionalFormatting>
  <printOptions horizontalCentered="1"/>
  <pageMargins left="0.4" right="0.4" top="0.6" bottom="0.6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6" customWidth="1"/>
    <col min="2" max="2" width="10" customWidth="1"/>
    <col min="3" max="4" width="22" customWidth="1"/>
    <col min="5" max="5" width="14" customWidth="1"/>
    <col min="6" max="6" width="16" customWidth="1"/>
    <col min="7" max="7" width="11" customWidth="1"/>
    <col min="8" max="8" width="10" customWidth="1"/>
    <col min="9" max="9" width="14" customWidth="1"/>
    <col min="10" max="10" width="10" customWidth="1"/>
    <col min="11" max="11" width="11" customWidth="1"/>
    <col min="12" max="12" width="10" customWidth="1"/>
    <col min="13" max="13" width="14" customWidth="1"/>
  </cols>
  <sheetData>
    <row r="1" spans="1:13" ht="19" x14ac:dyDescent="0.25">
      <c r="A1" s="9" t="s">
        <v>24</v>
      </c>
    </row>
    <row r="2" spans="1:13" x14ac:dyDescent="0.2">
      <c r="A2" s="24" t="s">
        <v>25</v>
      </c>
      <c r="B2" s="20"/>
      <c r="C2" s="20"/>
      <c r="D2" s="20"/>
      <c r="E2" s="20"/>
      <c r="F2" s="20"/>
      <c r="G2" s="20"/>
      <c r="H2" s="20"/>
    </row>
    <row r="3" spans="1:13" x14ac:dyDescent="0.2">
      <c r="A3" s="20" t="s">
        <v>26</v>
      </c>
      <c r="B3" s="20"/>
      <c r="C3" s="20"/>
      <c r="D3" s="20"/>
      <c r="E3" s="20"/>
      <c r="F3" s="20"/>
      <c r="G3" s="20"/>
      <c r="H3" s="20"/>
    </row>
    <row r="4" spans="1:13" x14ac:dyDescent="0.2">
      <c r="A4" s="20" t="s">
        <v>27</v>
      </c>
      <c r="B4" s="20"/>
      <c r="C4" s="20"/>
      <c r="D4" s="20"/>
      <c r="E4" s="20"/>
      <c r="F4" s="20"/>
      <c r="G4" s="20"/>
      <c r="H4" s="20"/>
    </row>
    <row r="5" spans="1:13" x14ac:dyDescent="0.2">
      <c r="A5" t="s">
        <v>28</v>
      </c>
      <c r="C5" t="s">
        <v>29</v>
      </c>
      <c r="E5" t="s">
        <v>30</v>
      </c>
    </row>
    <row r="6" spans="1:13" x14ac:dyDescent="0.2">
      <c r="A6" s="23"/>
      <c r="B6" s="22"/>
      <c r="C6" s="23"/>
      <c r="D6" s="22"/>
      <c r="E6" s="21"/>
      <c r="F6" s="22"/>
    </row>
    <row r="7" spans="1:13" ht="16" x14ac:dyDescent="0.2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</row>
    <row r="8" spans="1:13" x14ac:dyDescent="0.2">
      <c r="A8" t="s">
        <v>44</v>
      </c>
      <c r="B8" t="str">
        <f>IFERROR(AVERAGE(Januar!B4:B34),"")</f>
        <v/>
      </c>
      <c r="C8" t="str">
        <f>IFERROR(AVERAGE(Januar!C4:C34),"")</f>
        <v/>
      </c>
      <c r="D8" t="str">
        <f>IFERROR(AVERAGE(Januar!D4:D34),"")</f>
        <v/>
      </c>
      <c r="E8">
        <f>COUNT(Januar!B4:B34)</f>
        <v>0</v>
      </c>
      <c r="F8" t="str">
        <f>IFERROR(AVERAGE(Januar!F4:F34),"")</f>
        <v/>
      </c>
      <c r="G8" t="str">
        <f>IFERROR(AVERAGE(Januar!G4:G34),"")</f>
        <v/>
      </c>
      <c r="H8" t="str">
        <f>IFERROR(AVERAGE(Januar!H4:H34),"")</f>
        <v/>
      </c>
      <c r="I8">
        <f>COUNT(Januar!F4:F34)</f>
        <v>0</v>
      </c>
      <c r="J8" t="str">
        <f>IFERROR(AVERAGE(Januar!J4:J34),"")</f>
        <v/>
      </c>
      <c r="K8" t="str">
        <f>IFERROR(AVERAGE(Januar!K4:K34),"")</f>
        <v/>
      </c>
      <c r="L8" t="str">
        <f>IFERROR(AVERAGE(Januar!L4:L34),"")</f>
        <v/>
      </c>
      <c r="M8">
        <f>COUNT(Januar!J4:J34)</f>
        <v>0</v>
      </c>
    </row>
    <row r="9" spans="1:13" x14ac:dyDescent="0.2">
      <c r="A9" t="s">
        <v>45</v>
      </c>
      <c r="B9" t="str">
        <f>IFERROR(AVERAGE(Februar!B4:B34),"")</f>
        <v/>
      </c>
      <c r="C9" t="str">
        <f>IFERROR(AVERAGE(Februar!C4:C34),"")</f>
        <v/>
      </c>
      <c r="D9" t="str">
        <f>IFERROR(AVERAGE(Februar!D4:D34),"")</f>
        <v/>
      </c>
      <c r="E9">
        <f>COUNT(Februar!B4:B34)</f>
        <v>0</v>
      </c>
      <c r="F9" t="str">
        <f>IFERROR(AVERAGE(Februar!F4:F34),"")</f>
        <v/>
      </c>
      <c r="G9" t="str">
        <f>IFERROR(AVERAGE(Februar!G4:G34),"")</f>
        <v/>
      </c>
      <c r="H9" t="str">
        <f>IFERROR(AVERAGE(Februar!H4:H34),"")</f>
        <v/>
      </c>
      <c r="I9">
        <f>COUNT(Februar!F4:F34)</f>
        <v>0</v>
      </c>
      <c r="J9" t="str">
        <f>IFERROR(AVERAGE(Februar!J4:J34),"")</f>
        <v/>
      </c>
      <c r="K9" t="str">
        <f>IFERROR(AVERAGE(Februar!K4:K34),"")</f>
        <v/>
      </c>
      <c r="L9" t="str">
        <f>IFERROR(AVERAGE(Februar!L4:L34),"")</f>
        <v/>
      </c>
      <c r="M9">
        <f>COUNT(Februar!J4:J34)</f>
        <v>0</v>
      </c>
    </row>
    <row r="10" spans="1:13" x14ac:dyDescent="0.2">
      <c r="A10" t="s">
        <v>46</v>
      </c>
      <c r="B10" t="str">
        <f>IFERROR(AVERAGE(März!B4:B34),"")</f>
        <v/>
      </c>
      <c r="C10" t="str">
        <f>IFERROR(AVERAGE(März!C4:C34),"")</f>
        <v/>
      </c>
      <c r="D10" t="str">
        <f>IFERROR(AVERAGE(März!D4:D34),"")</f>
        <v/>
      </c>
      <c r="E10">
        <f>COUNT(März!B4:B34)</f>
        <v>0</v>
      </c>
      <c r="F10" t="str">
        <f>IFERROR(AVERAGE(März!F4:F34),"")</f>
        <v/>
      </c>
      <c r="G10" t="str">
        <f>IFERROR(AVERAGE(März!G4:G34),"")</f>
        <v/>
      </c>
      <c r="H10" t="str">
        <f>IFERROR(AVERAGE(März!H4:H34),"")</f>
        <v/>
      </c>
      <c r="I10">
        <f>COUNT(März!F4:F34)</f>
        <v>0</v>
      </c>
      <c r="J10" t="str">
        <f>IFERROR(AVERAGE(März!J4:J34),"")</f>
        <v/>
      </c>
      <c r="K10" t="str">
        <f>IFERROR(AVERAGE(März!K4:K34),"")</f>
        <v/>
      </c>
      <c r="L10" t="str">
        <f>IFERROR(AVERAGE(März!L4:L34),"")</f>
        <v/>
      </c>
      <c r="M10">
        <f>COUNT(März!J4:J34)</f>
        <v>0</v>
      </c>
    </row>
    <row r="11" spans="1:13" x14ac:dyDescent="0.2">
      <c r="A11" t="s">
        <v>47</v>
      </c>
      <c r="B11" t="str">
        <f>IFERROR(AVERAGE(April!B4:B34),"")</f>
        <v/>
      </c>
      <c r="C11" t="str">
        <f>IFERROR(AVERAGE(April!C4:C34),"")</f>
        <v/>
      </c>
      <c r="D11" t="str">
        <f>IFERROR(AVERAGE(April!D4:D34),"")</f>
        <v/>
      </c>
      <c r="E11">
        <f>COUNT(April!B4:B34)</f>
        <v>0</v>
      </c>
      <c r="F11" t="str">
        <f>IFERROR(AVERAGE(April!F4:F34),"")</f>
        <v/>
      </c>
      <c r="G11" t="str">
        <f>IFERROR(AVERAGE(April!G4:G34),"")</f>
        <v/>
      </c>
      <c r="H11" t="str">
        <f>IFERROR(AVERAGE(April!H4:H34),"")</f>
        <v/>
      </c>
      <c r="I11">
        <f>COUNT(April!F4:F34)</f>
        <v>0</v>
      </c>
      <c r="J11" t="str">
        <f>IFERROR(AVERAGE(April!J4:J34),"")</f>
        <v/>
      </c>
      <c r="K11" t="str">
        <f>IFERROR(AVERAGE(April!K4:K34),"")</f>
        <v/>
      </c>
      <c r="L11" t="str">
        <f>IFERROR(AVERAGE(April!L4:L34),"")</f>
        <v/>
      </c>
      <c r="M11">
        <f>COUNT(April!J4:J34)</f>
        <v>0</v>
      </c>
    </row>
    <row r="12" spans="1:13" x14ac:dyDescent="0.2">
      <c r="A12" t="s">
        <v>48</v>
      </c>
      <c r="B12" t="str">
        <f>IFERROR(AVERAGE(Mai!B4:B34),"")</f>
        <v/>
      </c>
      <c r="C12" t="str">
        <f>IFERROR(AVERAGE(Mai!C4:C34),"")</f>
        <v/>
      </c>
      <c r="D12" t="str">
        <f>IFERROR(AVERAGE(Mai!D4:D34),"")</f>
        <v/>
      </c>
      <c r="E12">
        <f>COUNT(Mai!B4:B34)</f>
        <v>0</v>
      </c>
      <c r="F12" t="str">
        <f>IFERROR(AVERAGE(Mai!F4:F34),"")</f>
        <v/>
      </c>
      <c r="G12" t="str">
        <f>IFERROR(AVERAGE(Mai!G4:G34),"")</f>
        <v/>
      </c>
      <c r="H12" t="str">
        <f>IFERROR(AVERAGE(Mai!H4:H34),"")</f>
        <v/>
      </c>
      <c r="I12">
        <f>COUNT(Mai!F4:F34)</f>
        <v>0</v>
      </c>
      <c r="J12" t="str">
        <f>IFERROR(AVERAGE(Mai!J4:J34),"")</f>
        <v/>
      </c>
      <c r="K12" t="str">
        <f>IFERROR(AVERAGE(Mai!K4:K34),"")</f>
        <v/>
      </c>
      <c r="L12" t="str">
        <f>IFERROR(AVERAGE(Mai!L4:L34),"")</f>
        <v/>
      </c>
      <c r="M12">
        <f>COUNT(Mai!J4:J34)</f>
        <v>0</v>
      </c>
    </row>
    <row r="13" spans="1:13" x14ac:dyDescent="0.2">
      <c r="A13" t="s">
        <v>49</v>
      </c>
      <c r="B13" t="str">
        <f>IFERROR(AVERAGE(Juni!B4:B34),"")</f>
        <v/>
      </c>
      <c r="C13" t="str">
        <f>IFERROR(AVERAGE(Juni!C4:C34),"")</f>
        <v/>
      </c>
      <c r="D13" t="str">
        <f>IFERROR(AVERAGE(Juni!D4:D34),"")</f>
        <v/>
      </c>
      <c r="E13">
        <f>COUNT(Juni!B4:B34)</f>
        <v>0</v>
      </c>
      <c r="F13" t="str">
        <f>IFERROR(AVERAGE(Juni!F4:F34),"")</f>
        <v/>
      </c>
      <c r="G13" t="str">
        <f>IFERROR(AVERAGE(Juni!G4:G34),"")</f>
        <v/>
      </c>
      <c r="H13" t="str">
        <f>IFERROR(AVERAGE(Juni!H4:H34),"")</f>
        <v/>
      </c>
      <c r="I13">
        <f>COUNT(Juni!F4:F34)</f>
        <v>0</v>
      </c>
      <c r="J13" t="str">
        <f>IFERROR(AVERAGE(Juni!J4:J34),"")</f>
        <v/>
      </c>
      <c r="K13" t="str">
        <f>IFERROR(AVERAGE(Juni!K4:K34),"")</f>
        <v/>
      </c>
      <c r="L13" t="str">
        <f>IFERROR(AVERAGE(Juni!L4:L34),"")</f>
        <v/>
      </c>
      <c r="M13">
        <f>COUNT(Juni!J4:J34)</f>
        <v>0</v>
      </c>
    </row>
    <row r="14" spans="1:13" x14ac:dyDescent="0.2">
      <c r="A14" t="s">
        <v>50</v>
      </c>
      <c r="B14" t="str">
        <f>IFERROR(AVERAGE(Juli!B4:B34),"")</f>
        <v/>
      </c>
      <c r="C14" t="str">
        <f>IFERROR(AVERAGE(Juli!C4:C34),"")</f>
        <v/>
      </c>
      <c r="D14" t="str">
        <f>IFERROR(AVERAGE(Juli!D4:D34),"")</f>
        <v/>
      </c>
      <c r="E14">
        <f>COUNT(Juli!B4:B34)</f>
        <v>0</v>
      </c>
      <c r="F14" t="str">
        <f>IFERROR(AVERAGE(Juli!F4:F34),"")</f>
        <v/>
      </c>
      <c r="G14" t="str">
        <f>IFERROR(AVERAGE(Juli!G4:G34),"")</f>
        <v/>
      </c>
      <c r="H14" t="str">
        <f>IFERROR(AVERAGE(Juli!H4:H34),"")</f>
        <v/>
      </c>
      <c r="I14">
        <f>COUNT(Juli!F4:F34)</f>
        <v>0</v>
      </c>
      <c r="J14" t="str">
        <f>IFERROR(AVERAGE(Juli!J4:J34),"")</f>
        <v/>
      </c>
      <c r="K14" t="str">
        <f>IFERROR(AVERAGE(Juli!K4:K34),"")</f>
        <v/>
      </c>
      <c r="L14" t="str">
        <f>IFERROR(AVERAGE(Juli!L4:L34),"")</f>
        <v/>
      </c>
      <c r="M14">
        <f>COUNT(Juli!J4:J34)</f>
        <v>0</v>
      </c>
    </row>
    <row r="15" spans="1:13" x14ac:dyDescent="0.2">
      <c r="A15" t="s">
        <v>51</v>
      </c>
      <c r="B15" t="str">
        <f>IFERROR(AVERAGE(August!B4:B34),"")</f>
        <v/>
      </c>
      <c r="C15" t="str">
        <f>IFERROR(AVERAGE(August!C4:C34),"")</f>
        <v/>
      </c>
      <c r="D15" t="str">
        <f>IFERROR(AVERAGE(August!D4:D34),"")</f>
        <v/>
      </c>
      <c r="E15">
        <f>COUNT(August!B4:B34)</f>
        <v>0</v>
      </c>
      <c r="F15" t="str">
        <f>IFERROR(AVERAGE(August!F4:F34),"")</f>
        <v/>
      </c>
      <c r="G15" t="str">
        <f>IFERROR(AVERAGE(August!G4:G34),"")</f>
        <v/>
      </c>
      <c r="H15" t="str">
        <f>IFERROR(AVERAGE(August!H4:H34),"")</f>
        <v/>
      </c>
      <c r="I15">
        <f>COUNT(August!F4:F34)</f>
        <v>0</v>
      </c>
      <c r="J15" t="str">
        <f>IFERROR(AVERAGE(August!J4:J34),"")</f>
        <v/>
      </c>
      <c r="K15" t="str">
        <f>IFERROR(AVERAGE(August!K4:K34),"")</f>
        <v/>
      </c>
      <c r="L15" t="str">
        <f>IFERROR(AVERAGE(August!L4:L34),"")</f>
        <v/>
      </c>
      <c r="M15">
        <f>COUNT(August!J4:J34)</f>
        <v>0</v>
      </c>
    </row>
    <row r="16" spans="1:13" x14ac:dyDescent="0.2">
      <c r="A16" t="s">
        <v>52</v>
      </c>
      <c r="B16" t="str">
        <f>IFERROR(AVERAGE(September!B4:B34),"")</f>
        <v/>
      </c>
      <c r="C16" t="str">
        <f>IFERROR(AVERAGE(September!C4:C34),"")</f>
        <v/>
      </c>
      <c r="D16" t="str">
        <f>IFERROR(AVERAGE(September!D4:D34),"")</f>
        <v/>
      </c>
      <c r="E16">
        <f>COUNT(September!B4:B34)</f>
        <v>0</v>
      </c>
      <c r="F16" t="str">
        <f>IFERROR(AVERAGE(September!F4:F34),"")</f>
        <v/>
      </c>
      <c r="G16" t="str">
        <f>IFERROR(AVERAGE(September!G4:G34),"")</f>
        <v/>
      </c>
      <c r="H16" t="str">
        <f>IFERROR(AVERAGE(September!H4:H34),"")</f>
        <v/>
      </c>
      <c r="I16">
        <f>COUNT(September!F4:F34)</f>
        <v>0</v>
      </c>
      <c r="J16" t="str">
        <f>IFERROR(AVERAGE(September!J4:J34),"")</f>
        <v/>
      </c>
      <c r="K16" t="str">
        <f>IFERROR(AVERAGE(September!K4:K34),"")</f>
        <v/>
      </c>
      <c r="L16" t="str">
        <f>IFERROR(AVERAGE(September!L4:L34),"")</f>
        <v/>
      </c>
      <c r="M16">
        <f>COUNT(September!J4:J34)</f>
        <v>0</v>
      </c>
    </row>
    <row r="17" spans="1:13" x14ac:dyDescent="0.2">
      <c r="A17" t="s">
        <v>53</v>
      </c>
      <c r="B17" t="str">
        <f>IFERROR(AVERAGE(Oktober!B4:B34),"")</f>
        <v/>
      </c>
      <c r="C17" t="str">
        <f>IFERROR(AVERAGE(Oktober!C4:C34),"")</f>
        <v/>
      </c>
      <c r="D17" t="str">
        <f>IFERROR(AVERAGE(Oktober!D4:D34),"")</f>
        <v/>
      </c>
      <c r="E17">
        <f>COUNT(Oktober!B4:B34)</f>
        <v>0</v>
      </c>
      <c r="F17" t="str">
        <f>IFERROR(AVERAGE(Oktober!F4:F34),"")</f>
        <v/>
      </c>
      <c r="G17" t="str">
        <f>IFERROR(AVERAGE(Oktober!G4:G34),"")</f>
        <v/>
      </c>
      <c r="H17" t="str">
        <f>IFERROR(AVERAGE(Oktober!H4:H34),"")</f>
        <v/>
      </c>
      <c r="I17">
        <f>COUNT(Oktober!F4:F34)</f>
        <v>0</v>
      </c>
      <c r="J17" t="str">
        <f>IFERROR(AVERAGE(Oktober!J4:J34),"")</f>
        <v/>
      </c>
      <c r="K17" t="str">
        <f>IFERROR(AVERAGE(Oktober!K4:K34),"")</f>
        <v/>
      </c>
      <c r="L17" t="str">
        <f>IFERROR(AVERAGE(Oktober!L4:L34),"")</f>
        <v/>
      </c>
      <c r="M17">
        <f>COUNT(Oktober!J4:J34)</f>
        <v>0</v>
      </c>
    </row>
    <row r="18" spans="1:13" x14ac:dyDescent="0.2">
      <c r="A18" t="s">
        <v>54</v>
      </c>
      <c r="B18" t="str">
        <f>IFERROR(AVERAGE(November!B4:B34),"")</f>
        <v/>
      </c>
      <c r="C18" t="str">
        <f>IFERROR(AVERAGE(November!C4:C34),"")</f>
        <v/>
      </c>
      <c r="D18" t="str">
        <f>IFERROR(AVERAGE(November!D4:D34),"")</f>
        <v/>
      </c>
      <c r="E18">
        <f>COUNT(November!B4:B34)</f>
        <v>0</v>
      </c>
      <c r="F18" t="str">
        <f>IFERROR(AVERAGE(November!F4:F34),"")</f>
        <v/>
      </c>
      <c r="G18" t="str">
        <f>IFERROR(AVERAGE(November!G4:G34),"")</f>
        <v/>
      </c>
      <c r="H18" t="str">
        <f>IFERROR(AVERAGE(November!H4:H34),"")</f>
        <v/>
      </c>
      <c r="I18">
        <f>COUNT(November!F4:F34)</f>
        <v>0</v>
      </c>
      <c r="J18" t="str">
        <f>IFERROR(AVERAGE(November!J4:J34),"")</f>
        <v/>
      </c>
      <c r="K18" t="str">
        <f>IFERROR(AVERAGE(November!K4:K34),"")</f>
        <v/>
      </c>
      <c r="L18" t="str">
        <f>IFERROR(AVERAGE(November!L4:L34),"")</f>
        <v/>
      </c>
      <c r="M18">
        <f>COUNT(November!J4:J34)</f>
        <v>0</v>
      </c>
    </row>
    <row r="19" spans="1:13" x14ac:dyDescent="0.2">
      <c r="A19" t="s">
        <v>55</v>
      </c>
      <c r="B19" t="str">
        <f>IFERROR(AVERAGE(Dezember!B4:B34),"")</f>
        <v/>
      </c>
      <c r="C19" t="str">
        <f>IFERROR(AVERAGE(Dezember!C4:C34),"")</f>
        <v/>
      </c>
      <c r="D19" t="str">
        <f>IFERROR(AVERAGE(Dezember!D4:D34),"")</f>
        <v/>
      </c>
      <c r="E19">
        <f>COUNT(Dezember!B4:B34)</f>
        <v>0</v>
      </c>
      <c r="F19" t="str">
        <f>IFERROR(AVERAGE(Dezember!F4:F34),"")</f>
        <v/>
      </c>
      <c r="G19" t="str">
        <f>IFERROR(AVERAGE(Dezember!G4:G34),"")</f>
        <v/>
      </c>
      <c r="H19" t="str">
        <f>IFERROR(AVERAGE(Dezember!H4:H34),"")</f>
        <v/>
      </c>
      <c r="I19">
        <f>COUNT(Dezember!F4:F34)</f>
        <v>0</v>
      </c>
      <c r="J19" t="str">
        <f>IFERROR(AVERAGE(Dezember!J4:J34),"")</f>
        <v/>
      </c>
      <c r="K19" t="str">
        <f>IFERROR(AVERAGE(Dezember!K4:K34),"")</f>
        <v/>
      </c>
      <c r="L19" t="str">
        <f>IFERROR(AVERAGE(Dezember!L4:L34),"")</f>
        <v/>
      </c>
      <c r="M19">
        <f>COUNT(Dezember!J4:J34)</f>
        <v>0</v>
      </c>
    </row>
  </sheetData>
  <sheetProtection password="CB1D" sheet="1"/>
  <mergeCells count="6">
    <mergeCell ref="A4:H4"/>
    <mergeCell ref="A3:H3"/>
    <mergeCell ref="E6:F6"/>
    <mergeCell ref="C6:D6"/>
    <mergeCell ref="A2:H2"/>
    <mergeCell ref="A6:B6"/>
  </mergeCells>
  <dataValidations count="1">
    <dataValidation type="date" allowBlank="1" showErrorMessage="1" errorTitle="Ungültiges Datum" error="Bitte ein gültiges Datum im Format TT.MM.JJJJ eingeben." sqref="E6" xr:uid="{00000000-0002-0000-0100-000000000000}">
      <formula1>DATE(1900,1,1)</formula1>
      <formula2>DATE(2100,12,31)</formula2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4"/>
  <sheetViews>
    <sheetView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2" customWidth="1"/>
    <col min="2" max="2" width="9" customWidth="1"/>
    <col min="3" max="3" width="10" customWidth="1"/>
    <col min="4" max="4" width="8" customWidth="1"/>
    <col min="5" max="5" width="15" customWidth="1"/>
    <col min="6" max="6" width="16" customWidth="1"/>
    <col min="7" max="7" width="10" customWidth="1"/>
    <col min="8" max="8" width="8" customWidth="1"/>
    <col min="9" max="9" width="15" customWidth="1"/>
    <col min="10" max="10" width="9" customWidth="1"/>
    <col min="11" max="11" width="10" customWidth="1"/>
    <col min="12" max="12" width="8" customWidth="1"/>
    <col min="13" max="13" width="15" customWidth="1"/>
  </cols>
  <sheetData>
    <row r="1" spans="1:13" x14ac:dyDescent="0.2">
      <c r="A1" s="10" t="s">
        <v>56</v>
      </c>
      <c r="B1" s="11">
        <v>2026</v>
      </c>
      <c r="D1" s="10" t="s">
        <v>31</v>
      </c>
      <c r="E1" s="11">
        <v>1</v>
      </c>
    </row>
    <row r="2" spans="1:13" x14ac:dyDescent="0.2">
      <c r="B2" s="13" t="str">
        <f>IF(Jahresübersicht!A6="","",Jahresübersicht!A6)</f>
        <v/>
      </c>
      <c r="D2" s="13" t="str">
        <f>IF(Jahresübersicht!C6="","",Jahresübersicht!C6)</f>
        <v/>
      </c>
      <c r="F2" s="14" t="str">
        <f>IF(Jahresübersicht!E6="","",Jahresübersicht!E6)</f>
        <v/>
      </c>
      <c r="H2" s="18"/>
      <c r="I2" s="15" t="s">
        <v>57</v>
      </c>
    </row>
    <row r="3" spans="1:13" ht="16" x14ac:dyDescent="0.2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7" t="s">
        <v>63</v>
      </c>
      <c r="G3" s="17" t="s">
        <v>64</v>
      </c>
      <c r="H3" s="17" t="s">
        <v>65</v>
      </c>
      <c r="I3" s="1" t="s">
        <v>66</v>
      </c>
      <c r="J3" s="17" t="s">
        <v>67</v>
      </c>
      <c r="K3" s="17" t="s">
        <v>68</v>
      </c>
      <c r="L3" s="17" t="s">
        <v>69</v>
      </c>
      <c r="M3" s="1" t="s">
        <v>70</v>
      </c>
    </row>
    <row r="4" spans="1:13" x14ac:dyDescent="0.2">
      <c r="A4" s="19">
        <f>IF(DAY(DATE(2026,1+1,0))&gt;=1,DATE(2026,1,1),"")</f>
        <v>46023</v>
      </c>
      <c r="B4" s="16"/>
      <c r="C4" s="16"/>
      <c r="D4" s="16"/>
      <c r="E4" s="12" t="str">
        <f t="shared" ref="E4:E34" si="0">IF(OR(B4="",C4=""),"",IF(OR(B4&lt;90,C4&lt;60),"Zu niedrig",IF(AND(B4&lt;120,C4&lt;80),"Optimal",IF(AND(B4&lt;130,C4&lt;85),"Normal",IF(AND(B4&lt;140,C4&lt;90),"Hoch-normal",IF(AND(B4&lt;160,C4&lt;100),"Hypertonie Grad 1",IF(AND(B4&lt;180,C4&lt;110),"Hypertonie Grad 2","Hypertonie Grad 3")))))))</f>
        <v/>
      </c>
      <c r="F4" s="11"/>
      <c r="G4" s="11"/>
      <c r="H4" s="11"/>
      <c r="I4" s="12" t="str">
        <f t="shared" ref="I4:I34" si="1">IF(OR(F4="",G4=""),"",IF(OR(F4&lt;90,G4&lt;60),"Zu niedrig",IF(AND(F4&lt;120,G4&lt;80),"Optimal",IF(AND(F4&lt;130,G4&lt;85),"Normal",IF(AND(F4&lt;140,G4&lt;90),"Hoch-normal",IF(AND(F4&lt;160,G4&lt;100),"Hypertonie Grad 1",IF(AND(F4&lt;180,G4&lt;110),"Hypertonie Grad 2","Hypertonie Grad 3")))))))</f>
        <v/>
      </c>
      <c r="J4" s="11"/>
      <c r="K4" s="11"/>
      <c r="L4" s="11"/>
      <c r="M4" s="12" t="str">
        <f t="shared" ref="M4:M34" si="2">IF(OR(J4="",K4=""),"",IF(OR(J4&lt;90,K4&lt;60),"Zu niedrig",IF(AND(J4&lt;120,K4&lt;80),"Optimal",IF(AND(J4&lt;130,K4&lt;85),"Normal",IF(AND(J4&lt;140,K4&lt;90),"Hoch-normal",IF(AND(J4&lt;160,K4&lt;100),"Hypertonie Grad 1",IF(AND(J4&lt;180,K4&lt;110),"Hypertonie Grad 2","Hypertonie Grad 3")))))))</f>
        <v/>
      </c>
    </row>
    <row r="5" spans="1:13" x14ac:dyDescent="0.2">
      <c r="A5" s="19">
        <f>IF(DAY(DATE(2026,1+1,0))&gt;=2,DATE(2026,1,2),"")</f>
        <v>46024</v>
      </c>
      <c r="B5" s="16"/>
      <c r="C5" s="16"/>
      <c r="D5" s="16"/>
      <c r="E5" s="12" t="str">
        <f t="shared" si="0"/>
        <v/>
      </c>
      <c r="F5" s="11"/>
      <c r="G5" s="11"/>
      <c r="H5" s="11"/>
      <c r="I5" s="12" t="str">
        <f t="shared" si="1"/>
        <v/>
      </c>
      <c r="J5" s="11"/>
      <c r="K5" s="11"/>
      <c r="L5" s="11"/>
      <c r="M5" s="12" t="str">
        <f t="shared" si="2"/>
        <v/>
      </c>
    </row>
    <row r="6" spans="1:13" x14ac:dyDescent="0.2">
      <c r="A6" s="19">
        <f>IF(DAY(DATE(2026,1+1,0))&gt;=3,DATE(2026,1,3),"")</f>
        <v>46025</v>
      </c>
      <c r="B6" s="16"/>
      <c r="C6" s="16"/>
      <c r="D6" s="16"/>
      <c r="E6" s="12" t="str">
        <f t="shared" si="0"/>
        <v/>
      </c>
      <c r="F6" s="11"/>
      <c r="G6" s="11"/>
      <c r="H6" s="11"/>
      <c r="I6" s="12" t="str">
        <f t="shared" si="1"/>
        <v/>
      </c>
      <c r="J6" s="11"/>
      <c r="K6" s="11"/>
      <c r="L6" s="11"/>
      <c r="M6" s="12" t="str">
        <f t="shared" si="2"/>
        <v/>
      </c>
    </row>
    <row r="7" spans="1:13" x14ac:dyDescent="0.2">
      <c r="A7" s="19">
        <f>IF(DAY(DATE(2026,1+1,0))&gt;=4,DATE(2026,1,4),"")</f>
        <v>46026</v>
      </c>
      <c r="B7" s="16"/>
      <c r="C7" s="16"/>
      <c r="D7" s="16"/>
      <c r="E7" s="12" t="str">
        <f t="shared" si="0"/>
        <v/>
      </c>
      <c r="F7" s="11"/>
      <c r="G7" s="11"/>
      <c r="H7" s="11"/>
      <c r="I7" s="12" t="str">
        <f t="shared" si="1"/>
        <v/>
      </c>
      <c r="J7" s="11"/>
      <c r="K7" s="11"/>
      <c r="L7" s="11"/>
      <c r="M7" s="12" t="str">
        <f t="shared" si="2"/>
        <v/>
      </c>
    </row>
    <row r="8" spans="1:13" x14ac:dyDescent="0.2">
      <c r="A8" s="19">
        <f>IF(DAY(DATE(2026,1+1,0))&gt;=5,DATE(2026,1,5),"")</f>
        <v>46027</v>
      </c>
      <c r="B8" s="16"/>
      <c r="C8" s="16"/>
      <c r="D8" s="16"/>
      <c r="E8" s="12" t="str">
        <f t="shared" si="0"/>
        <v/>
      </c>
      <c r="F8" s="11"/>
      <c r="G8" s="11"/>
      <c r="H8" s="11"/>
      <c r="I8" s="12" t="str">
        <f t="shared" si="1"/>
        <v/>
      </c>
      <c r="J8" s="11"/>
      <c r="K8" s="11"/>
      <c r="L8" s="11"/>
      <c r="M8" s="12" t="str">
        <f t="shared" si="2"/>
        <v/>
      </c>
    </row>
    <row r="9" spans="1:13" x14ac:dyDescent="0.2">
      <c r="A9" s="19">
        <f>IF(DAY(DATE(2026,1+1,0))&gt;=6,DATE(2026,1,6),"")</f>
        <v>46028</v>
      </c>
      <c r="B9" s="16"/>
      <c r="C9" s="16"/>
      <c r="D9" s="16"/>
      <c r="E9" s="12" t="str">
        <f t="shared" si="0"/>
        <v/>
      </c>
      <c r="F9" s="11"/>
      <c r="G9" s="11"/>
      <c r="H9" s="11"/>
      <c r="I9" s="12" t="str">
        <f t="shared" si="1"/>
        <v/>
      </c>
      <c r="J9" s="11"/>
      <c r="K9" s="11"/>
      <c r="L9" s="11"/>
      <c r="M9" s="12" t="str">
        <f t="shared" si="2"/>
        <v/>
      </c>
    </row>
    <row r="10" spans="1:13" x14ac:dyDescent="0.2">
      <c r="A10" s="19">
        <f>IF(DAY(DATE(2026,1+1,0))&gt;=7,DATE(2026,1,7),"")</f>
        <v>46029</v>
      </c>
      <c r="B10" s="16"/>
      <c r="C10" s="16"/>
      <c r="D10" s="16"/>
      <c r="E10" s="12" t="str">
        <f t="shared" si="0"/>
        <v/>
      </c>
      <c r="F10" s="11"/>
      <c r="G10" s="11"/>
      <c r="H10" s="11"/>
      <c r="I10" s="12" t="str">
        <f t="shared" si="1"/>
        <v/>
      </c>
      <c r="J10" s="11"/>
      <c r="K10" s="11"/>
      <c r="L10" s="11"/>
      <c r="M10" s="12" t="str">
        <f t="shared" si="2"/>
        <v/>
      </c>
    </row>
    <row r="11" spans="1:13" x14ac:dyDescent="0.2">
      <c r="A11" s="19">
        <f>IF(DAY(DATE(2026,1+1,0))&gt;=8,DATE(2026,1,8),"")</f>
        <v>46030</v>
      </c>
      <c r="B11" s="16"/>
      <c r="C11" s="16"/>
      <c r="D11" s="16"/>
      <c r="E11" s="12" t="str">
        <f t="shared" si="0"/>
        <v/>
      </c>
      <c r="F11" s="11"/>
      <c r="G11" s="11"/>
      <c r="H11" s="11"/>
      <c r="I11" s="12" t="str">
        <f t="shared" si="1"/>
        <v/>
      </c>
      <c r="J11" s="11"/>
      <c r="K11" s="11"/>
      <c r="L11" s="11"/>
      <c r="M11" s="12" t="str">
        <f t="shared" si="2"/>
        <v/>
      </c>
    </row>
    <row r="12" spans="1:13" x14ac:dyDescent="0.2">
      <c r="A12" s="19">
        <f>IF(DAY(DATE(2026,1+1,0))&gt;=9,DATE(2026,1,9),"")</f>
        <v>46031</v>
      </c>
      <c r="B12" s="16"/>
      <c r="C12" s="16"/>
      <c r="D12" s="16"/>
      <c r="E12" s="12" t="str">
        <f t="shared" si="0"/>
        <v/>
      </c>
      <c r="F12" s="11"/>
      <c r="G12" s="11"/>
      <c r="H12" s="11"/>
      <c r="I12" s="12" t="str">
        <f t="shared" si="1"/>
        <v/>
      </c>
      <c r="J12" s="11"/>
      <c r="K12" s="11"/>
      <c r="L12" s="11"/>
      <c r="M12" s="12" t="str">
        <f t="shared" si="2"/>
        <v/>
      </c>
    </row>
    <row r="13" spans="1:13" x14ac:dyDescent="0.2">
      <c r="A13" s="19">
        <f>IF(DAY(DATE(2026,1+1,0))&gt;=10,DATE(2026,1,10),"")</f>
        <v>46032</v>
      </c>
      <c r="B13" s="16"/>
      <c r="C13" s="16"/>
      <c r="D13" s="16"/>
      <c r="E13" s="12" t="str">
        <f t="shared" si="0"/>
        <v/>
      </c>
      <c r="F13" s="11"/>
      <c r="G13" s="11"/>
      <c r="H13" s="11"/>
      <c r="I13" s="12" t="str">
        <f t="shared" si="1"/>
        <v/>
      </c>
      <c r="J13" s="11"/>
      <c r="K13" s="11"/>
      <c r="L13" s="11"/>
      <c r="M13" s="12" t="str">
        <f t="shared" si="2"/>
        <v/>
      </c>
    </row>
    <row r="14" spans="1:13" x14ac:dyDescent="0.2">
      <c r="A14" s="19">
        <f>IF(DAY(DATE(2026,1+1,0))&gt;=11,DATE(2026,1,11),"")</f>
        <v>46033</v>
      </c>
      <c r="B14" s="16"/>
      <c r="C14" s="16"/>
      <c r="D14" s="16"/>
      <c r="E14" s="12" t="str">
        <f t="shared" si="0"/>
        <v/>
      </c>
      <c r="F14" s="11"/>
      <c r="G14" s="11"/>
      <c r="H14" s="11"/>
      <c r="I14" s="12" t="str">
        <f t="shared" si="1"/>
        <v/>
      </c>
      <c r="J14" s="11"/>
      <c r="K14" s="11"/>
      <c r="L14" s="11"/>
      <c r="M14" s="12" t="str">
        <f t="shared" si="2"/>
        <v/>
      </c>
    </row>
    <row r="15" spans="1:13" x14ac:dyDescent="0.2">
      <c r="A15" s="19">
        <f>IF(DAY(DATE(2026,1+1,0))&gt;=12,DATE(2026,1,12),"")</f>
        <v>46034</v>
      </c>
      <c r="B15" s="16"/>
      <c r="C15" s="16"/>
      <c r="D15" s="16"/>
      <c r="E15" s="12" t="str">
        <f t="shared" si="0"/>
        <v/>
      </c>
      <c r="F15" s="11"/>
      <c r="G15" s="11"/>
      <c r="H15" s="11"/>
      <c r="I15" s="12" t="str">
        <f t="shared" si="1"/>
        <v/>
      </c>
      <c r="J15" s="11"/>
      <c r="K15" s="11"/>
      <c r="L15" s="11"/>
      <c r="M15" s="12" t="str">
        <f t="shared" si="2"/>
        <v/>
      </c>
    </row>
    <row r="16" spans="1:13" x14ac:dyDescent="0.2">
      <c r="A16" s="19">
        <f>IF(DAY(DATE(2026,1+1,0))&gt;=13,DATE(2026,1,13),"")</f>
        <v>46035</v>
      </c>
      <c r="B16" s="16"/>
      <c r="C16" s="16"/>
      <c r="D16" s="16"/>
      <c r="E16" s="12" t="str">
        <f t="shared" si="0"/>
        <v/>
      </c>
      <c r="F16" s="11"/>
      <c r="G16" s="11"/>
      <c r="H16" s="11"/>
      <c r="I16" s="12" t="str">
        <f t="shared" si="1"/>
        <v/>
      </c>
      <c r="J16" s="11"/>
      <c r="K16" s="11"/>
      <c r="L16" s="11"/>
      <c r="M16" s="12" t="str">
        <f t="shared" si="2"/>
        <v/>
      </c>
    </row>
    <row r="17" spans="1:13" x14ac:dyDescent="0.2">
      <c r="A17" s="19">
        <f>IF(DAY(DATE(2026,1+1,0))&gt;=14,DATE(2026,1,14),"")</f>
        <v>46036</v>
      </c>
      <c r="B17" s="16"/>
      <c r="C17" s="16"/>
      <c r="D17" s="16"/>
      <c r="E17" s="12" t="str">
        <f t="shared" si="0"/>
        <v/>
      </c>
      <c r="F17" s="11"/>
      <c r="G17" s="11"/>
      <c r="H17" s="11"/>
      <c r="I17" s="12" t="str">
        <f t="shared" si="1"/>
        <v/>
      </c>
      <c r="J17" s="11"/>
      <c r="K17" s="11"/>
      <c r="L17" s="11"/>
      <c r="M17" s="12" t="str">
        <f t="shared" si="2"/>
        <v/>
      </c>
    </row>
    <row r="18" spans="1:13" x14ac:dyDescent="0.2">
      <c r="A18" s="19">
        <f>IF(DAY(DATE(2026,1+1,0))&gt;=15,DATE(2026,1,15),"")</f>
        <v>46037</v>
      </c>
      <c r="B18" s="16"/>
      <c r="C18" s="16"/>
      <c r="D18" s="16"/>
      <c r="E18" s="12" t="str">
        <f t="shared" si="0"/>
        <v/>
      </c>
      <c r="F18" s="11"/>
      <c r="G18" s="11"/>
      <c r="H18" s="11"/>
      <c r="I18" s="12" t="str">
        <f t="shared" si="1"/>
        <v/>
      </c>
      <c r="J18" s="11"/>
      <c r="K18" s="11"/>
      <c r="L18" s="11"/>
      <c r="M18" s="12" t="str">
        <f t="shared" si="2"/>
        <v/>
      </c>
    </row>
    <row r="19" spans="1:13" x14ac:dyDescent="0.2">
      <c r="A19" s="19">
        <f>IF(DAY(DATE(2026,1+1,0))&gt;=16,DATE(2026,1,16),"")</f>
        <v>46038</v>
      </c>
      <c r="B19" s="16"/>
      <c r="C19" s="16"/>
      <c r="D19" s="16"/>
      <c r="E19" s="12" t="str">
        <f t="shared" si="0"/>
        <v/>
      </c>
      <c r="F19" s="11"/>
      <c r="G19" s="11"/>
      <c r="H19" s="11"/>
      <c r="I19" s="12" t="str">
        <f t="shared" si="1"/>
        <v/>
      </c>
      <c r="J19" s="11"/>
      <c r="K19" s="11"/>
      <c r="L19" s="11"/>
      <c r="M19" s="12" t="str">
        <f t="shared" si="2"/>
        <v/>
      </c>
    </row>
    <row r="20" spans="1:13" x14ac:dyDescent="0.2">
      <c r="A20" s="19">
        <f>IF(DAY(DATE(2026,1+1,0))&gt;=17,DATE(2026,1,17),"")</f>
        <v>46039</v>
      </c>
      <c r="B20" s="16"/>
      <c r="C20" s="16"/>
      <c r="D20" s="16"/>
      <c r="E20" s="12" t="str">
        <f t="shared" si="0"/>
        <v/>
      </c>
      <c r="F20" s="11"/>
      <c r="G20" s="11"/>
      <c r="H20" s="11"/>
      <c r="I20" s="12" t="str">
        <f t="shared" si="1"/>
        <v/>
      </c>
      <c r="J20" s="11"/>
      <c r="K20" s="11"/>
      <c r="L20" s="11"/>
      <c r="M20" s="12" t="str">
        <f t="shared" si="2"/>
        <v/>
      </c>
    </row>
    <row r="21" spans="1:13" x14ac:dyDescent="0.2">
      <c r="A21" s="19">
        <f>IF(DAY(DATE(2026,1+1,0))&gt;=18,DATE(2026,1,18),"")</f>
        <v>46040</v>
      </c>
      <c r="B21" s="16"/>
      <c r="C21" s="16"/>
      <c r="D21" s="16"/>
      <c r="E21" s="12" t="str">
        <f t="shared" si="0"/>
        <v/>
      </c>
      <c r="F21" s="11"/>
      <c r="G21" s="11"/>
      <c r="H21" s="11"/>
      <c r="I21" s="12" t="str">
        <f t="shared" si="1"/>
        <v/>
      </c>
      <c r="J21" s="11"/>
      <c r="K21" s="11"/>
      <c r="L21" s="11"/>
      <c r="M21" s="12" t="str">
        <f t="shared" si="2"/>
        <v/>
      </c>
    </row>
    <row r="22" spans="1:13" x14ac:dyDescent="0.2">
      <c r="A22" s="19">
        <f>IF(DAY(DATE(2026,1+1,0))&gt;=19,DATE(2026,1,19),"")</f>
        <v>46041</v>
      </c>
      <c r="B22" s="16"/>
      <c r="C22" s="16"/>
      <c r="D22" s="16"/>
      <c r="E22" s="12" t="str">
        <f t="shared" si="0"/>
        <v/>
      </c>
      <c r="F22" s="11"/>
      <c r="G22" s="11"/>
      <c r="H22" s="11"/>
      <c r="I22" s="12" t="str">
        <f t="shared" si="1"/>
        <v/>
      </c>
      <c r="J22" s="11"/>
      <c r="K22" s="11"/>
      <c r="L22" s="11"/>
      <c r="M22" s="12" t="str">
        <f t="shared" si="2"/>
        <v/>
      </c>
    </row>
    <row r="23" spans="1:13" x14ac:dyDescent="0.2">
      <c r="A23" s="19">
        <f>IF(DAY(DATE(2026,1+1,0))&gt;=20,DATE(2026,1,20),"")</f>
        <v>46042</v>
      </c>
      <c r="B23" s="16"/>
      <c r="C23" s="16"/>
      <c r="D23" s="16"/>
      <c r="E23" s="12" t="str">
        <f t="shared" si="0"/>
        <v/>
      </c>
      <c r="F23" s="11"/>
      <c r="G23" s="11"/>
      <c r="H23" s="11"/>
      <c r="I23" s="12" t="str">
        <f t="shared" si="1"/>
        <v/>
      </c>
      <c r="J23" s="11"/>
      <c r="K23" s="11"/>
      <c r="L23" s="11"/>
      <c r="M23" s="12" t="str">
        <f t="shared" si="2"/>
        <v/>
      </c>
    </row>
    <row r="24" spans="1:13" x14ac:dyDescent="0.2">
      <c r="A24" s="19">
        <f>IF(DAY(DATE(2026,1+1,0))&gt;=21,DATE(2026,1,21),"")</f>
        <v>46043</v>
      </c>
      <c r="B24" s="16"/>
      <c r="C24" s="16"/>
      <c r="D24" s="16"/>
      <c r="E24" s="12" t="str">
        <f t="shared" si="0"/>
        <v/>
      </c>
      <c r="F24" s="11"/>
      <c r="G24" s="11"/>
      <c r="H24" s="11"/>
      <c r="I24" s="12" t="str">
        <f t="shared" si="1"/>
        <v/>
      </c>
      <c r="J24" s="11"/>
      <c r="K24" s="11"/>
      <c r="L24" s="11"/>
      <c r="M24" s="12" t="str">
        <f t="shared" si="2"/>
        <v/>
      </c>
    </row>
    <row r="25" spans="1:13" x14ac:dyDescent="0.2">
      <c r="A25" s="19">
        <f>IF(DAY(DATE(2026,1+1,0))&gt;=22,DATE(2026,1,22),"")</f>
        <v>46044</v>
      </c>
      <c r="B25" s="16"/>
      <c r="C25" s="16"/>
      <c r="D25" s="16"/>
      <c r="E25" s="12" t="str">
        <f t="shared" si="0"/>
        <v/>
      </c>
      <c r="F25" s="11"/>
      <c r="G25" s="11"/>
      <c r="H25" s="11"/>
      <c r="I25" s="12" t="str">
        <f t="shared" si="1"/>
        <v/>
      </c>
      <c r="J25" s="11"/>
      <c r="K25" s="11"/>
      <c r="L25" s="11"/>
      <c r="M25" s="12" t="str">
        <f t="shared" si="2"/>
        <v/>
      </c>
    </row>
    <row r="26" spans="1:13" x14ac:dyDescent="0.2">
      <c r="A26" s="19">
        <f>IF(DAY(DATE(2026,1+1,0))&gt;=23,DATE(2026,1,23),"")</f>
        <v>46045</v>
      </c>
      <c r="B26" s="16"/>
      <c r="C26" s="16"/>
      <c r="D26" s="16"/>
      <c r="E26" s="12" t="str">
        <f t="shared" si="0"/>
        <v/>
      </c>
      <c r="F26" s="11"/>
      <c r="G26" s="11"/>
      <c r="H26" s="11"/>
      <c r="I26" s="12" t="str">
        <f t="shared" si="1"/>
        <v/>
      </c>
      <c r="J26" s="11"/>
      <c r="K26" s="11"/>
      <c r="L26" s="11"/>
      <c r="M26" s="12" t="str">
        <f t="shared" si="2"/>
        <v/>
      </c>
    </row>
    <row r="27" spans="1:13" x14ac:dyDescent="0.2">
      <c r="A27" s="19">
        <f>IF(DAY(DATE(2026,1+1,0))&gt;=24,DATE(2026,1,24),"")</f>
        <v>46046</v>
      </c>
      <c r="B27" s="16"/>
      <c r="C27" s="16"/>
      <c r="D27" s="16"/>
      <c r="E27" s="12" t="str">
        <f t="shared" si="0"/>
        <v/>
      </c>
      <c r="F27" s="11"/>
      <c r="G27" s="11"/>
      <c r="H27" s="11"/>
      <c r="I27" s="12" t="str">
        <f t="shared" si="1"/>
        <v/>
      </c>
      <c r="J27" s="11"/>
      <c r="K27" s="11"/>
      <c r="L27" s="11"/>
      <c r="M27" s="12" t="str">
        <f t="shared" si="2"/>
        <v/>
      </c>
    </row>
    <row r="28" spans="1:13" x14ac:dyDescent="0.2">
      <c r="A28" s="19">
        <f>IF(DAY(DATE(2026,1+1,0))&gt;=25,DATE(2026,1,25),"")</f>
        <v>46047</v>
      </c>
      <c r="B28" s="16"/>
      <c r="C28" s="16"/>
      <c r="D28" s="16"/>
      <c r="E28" s="12" t="str">
        <f t="shared" si="0"/>
        <v/>
      </c>
      <c r="F28" s="11"/>
      <c r="G28" s="11"/>
      <c r="H28" s="11"/>
      <c r="I28" s="12" t="str">
        <f t="shared" si="1"/>
        <v/>
      </c>
      <c r="J28" s="11"/>
      <c r="K28" s="11"/>
      <c r="L28" s="11"/>
      <c r="M28" s="12" t="str">
        <f t="shared" si="2"/>
        <v/>
      </c>
    </row>
    <row r="29" spans="1:13" x14ac:dyDescent="0.2">
      <c r="A29" s="19">
        <f>IF(DAY(DATE(2026,1+1,0))&gt;=26,DATE(2026,1,26),"")</f>
        <v>46048</v>
      </c>
      <c r="B29" s="16"/>
      <c r="C29" s="16"/>
      <c r="D29" s="16"/>
      <c r="E29" s="12" t="str">
        <f t="shared" si="0"/>
        <v/>
      </c>
      <c r="F29" s="11"/>
      <c r="G29" s="11"/>
      <c r="H29" s="11"/>
      <c r="I29" s="12" t="str">
        <f t="shared" si="1"/>
        <v/>
      </c>
      <c r="J29" s="11"/>
      <c r="K29" s="11"/>
      <c r="L29" s="11"/>
      <c r="M29" s="12" t="str">
        <f t="shared" si="2"/>
        <v/>
      </c>
    </row>
    <row r="30" spans="1:13" x14ac:dyDescent="0.2">
      <c r="A30" s="19">
        <f>IF(DAY(DATE(2026,1+1,0))&gt;=27,DATE(2026,1,27),"")</f>
        <v>46049</v>
      </c>
      <c r="B30" s="16"/>
      <c r="C30" s="16"/>
      <c r="D30" s="16"/>
      <c r="E30" s="12" t="str">
        <f t="shared" si="0"/>
        <v/>
      </c>
      <c r="F30" s="11"/>
      <c r="G30" s="11"/>
      <c r="H30" s="11"/>
      <c r="I30" s="12" t="str">
        <f t="shared" si="1"/>
        <v/>
      </c>
      <c r="J30" s="11"/>
      <c r="K30" s="11"/>
      <c r="L30" s="11"/>
      <c r="M30" s="12" t="str">
        <f t="shared" si="2"/>
        <v/>
      </c>
    </row>
    <row r="31" spans="1:13" x14ac:dyDescent="0.2">
      <c r="A31" s="19">
        <f>IF(DAY(DATE(2026,1+1,0))&gt;=28,DATE(2026,1,28),"")</f>
        <v>46050</v>
      </c>
      <c r="B31" s="16"/>
      <c r="C31" s="16"/>
      <c r="D31" s="16"/>
      <c r="E31" s="12" t="str">
        <f t="shared" si="0"/>
        <v/>
      </c>
      <c r="F31" s="11"/>
      <c r="G31" s="11"/>
      <c r="H31" s="11"/>
      <c r="I31" s="12" t="str">
        <f t="shared" si="1"/>
        <v/>
      </c>
      <c r="J31" s="11"/>
      <c r="K31" s="11"/>
      <c r="L31" s="11"/>
      <c r="M31" s="12" t="str">
        <f t="shared" si="2"/>
        <v/>
      </c>
    </row>
    <row r="32" spans="1:13" x14ac:dyDescent="0.2">
      <c r="A32" s="19">
        <f>IF(DAY(DATE(2026,1+1,0))&gt;=29,DATE(2026,1,29),"")</f>
        <v>46051</v>
      </c>
      <c r="B32" s="16"/>
      <c r="C32" s="16"/>
      <c r="D32" s="16"/>
      <c r="E32" s="12" t="str">
        <f t="shared" si="0"/>
        <v/>
      </c>
      <c r="F32" s="11"/>
      <c r="G32" s="11"/>
      <c r="H32" s="11"/>
      <c r="I32" s="12" t="str">
        <f t="shared" si="1"/>
        <v/>
      </c>
      <c r="J32" s="11"/>
      <c r="K32" s="11"/>
      <c r="L32" s="11"/>
      <c r="M32" s="12" t="str">
        <f t="shared" si="2"/>
        <v/>
      </c>
    </row>
    <row r="33" spans="1:13" x14ac:dyDescent="0.2">
      <c r="A33" s="19">
        <f>IF(DAY(DATE(2026,1+1,0))&gt;=30,DATE(2026,1,30),"")</f>
        <v>46052</v>
      </c>
      <c r="B33" s="16"/>
      <c r="C33" s="16"/>
      <c r="D33" s="16"/>
      <c r="E33" s="12" t="str">
        <f t="shared" si="0"/>
        <v/>
      </c>
      <c r="F33" s="11"/>
      <c r="G33" s="11"/>
      <c r="H33" s="11"/>
      <c r="I33" s="12" t="str">
        <f t="shared" si="1"/>
        <v/>
      </c>
      <c r="J33" s="11"/>
      <c r="K33" s="11"/>
      <c r="L33" s="11"/>
      <c r="M33" s="12" t="str">
        <f t="shared" si="2"/>
        <v/>
      </c>
    </row>
    <row r="34" spans="1:13" x14ac:dyDescent="0.2">
      <c r="A34" s="19">
        <f>IF(DAY(DATE(2026,1+1,0))&gt;=31,DATE(2026,1,31),"")</f>
        <v>46053</v>
      </c>
      <c r="B34" s="16"/>
      <c r="C34" s="16"/>
      <c r="D34" s="16"/>
      <c r="E34" s="12" t="str">
        <f t="shared" si="0"/>
        <v/>
      </c>
      <c r="F34" s="11"/>
      <c r="G34" s="11"/>
      <c r="H34" s="11"/>
      <c r="I34" s="12" t="str">
        <f t="shared" si="1"/>
        <v/>
      </c>
      <c r="J34" s="11"/>
      <c r="K34" s="11"/>
      <c r="L34" s="11"/>
      <c r="M34" s="12" t="str">
        <f t="shared" si="2"/>
        <v/>
      </c>
    </row>
  </sheetData>
  <sheetProtection password="CB1D" sheet="1"/>
  <conditionalFormatting sqref="B4:D34">
    <cfRule type="expression" dxfId="323" priority="23">
      <formula>$E4="Hypertonie Grad 3"</formula>
    </cfRule>
    <cfRule type="expression" dxfId="322" priority="22">
      <formula>$E4="Hypertonie Grad 2"</formula>
    </cfRule>
  </conditionalFormatting>
  <conditionalFormatting sqref="E4:E34">
    <cfRule type="expression" dxfId="321" priority="1">
      <formula>$E4="Zu niedrig"</formula>
    </cfRule>
    <cfRule type="expression" dxfId="320" priority="2">
      <formula>$E4="Optimal"</formula>
    </cfRule>
    <cfRule type="expression" dxfId="319" priority="3">
      <formula>$E4="Normal"</formula>
    </cfRule>
    <cfRule type="expression" dxfId="318" priority="4">
      <formula>$E4="Hoch-normal"</formula>
    </cfRule>
    <cfRule type="expression" dxfId="317" priority="5">
      <formula>$E4="Hypertonie Grad 1"</formula>
    </cfRule>
    <cfRule type="expression" dxfId="316" priority="6">
      <formula>$E4="Hypertonie Grad 2"</formula>
    </cfRule>
    <cfRule type="expression" dxfId="315" priority="7">
      <formula>$E4="Hypertonie Grad 3"</formula>
    </cfRule>
  </conditionalFormatting>
  <conditionalFormatting sqref="F4:H34">
    <cfRule type="expression" dxfId="314" priority="25">
      <formula>$I4="Hypertonie Grad 3"</formula>
    </cfRule>
    <cfRule type="expression" dxfId="313" priority="24">
      <formula>$I4="Hypertonie Grad 2"</formula>
    </cfRule>
  </conditionalFormatting>
  <conditionalFormatting sqref="I4:I34">
    <cfRule type="expression" dxfId="312" priority="14">
      <formula>$I4="Hypertonie Grad 3"</formula>
    </cfRule>
    <cfRule type="expression" dxfId="311" priority="13">
      <formula>$I4="Hypertonie Grad 2"</formula>
    </cfRule>
    <cfRule type="expression" dxfId="310" priority="12">
      <formula>$I4="Hypertonie Grad 1"</formula>
    </cfRule>
    <cfRule type="expression" dxfId="309" priority="11">
      <formula>$I4="Hoch-normal"</formula>
    </cfRule>
    <cfRule type="expression" dxfId="308" priority="10">
      <formula>$I4="Normal"</formula>
    </cfRule>
    <cfRule type="expression" dxfId="307" priority="9">
      <formula>$I4="Optimal"</formula>
    </cfRule>
    <cfRule type="expression" dxfId="306" priority="8">
      <formula>$I4="Zu niedrig"</formula>
    </cfRule>
  </conditionalFormatting>
  <conditionalFormatting sqref="J4:L34">
    <cfRule type="expression" dxfId="305" priority="26">
      <formula>$M4="Hypertonie Grad 2"</formula>
    </cfRule>
    <cfRule type="expression" dxfId="304" priority="27">
      <formula>$M4="Hypertonie Grad 3"</formula>
    </cfRule>
  </conditionalFormatting>
  <conditionalFormatting sqref="M4:M34">
    <cfRule type="expression" dxfId="303" priority="15">
      <formula>$M4="Zu niedrig"</formula>
    </cfRule>
    <cfRule type="expression" dxfId="302" priority="16">
      <formula>$M4="Optimal"</formula>
    </cfRule>
    <cfRule type="expression" dxfId="301" priority="17">
      <formula>$M4="Normal"</formula>
    </cfRule>
    <cfRule type="expression" dxfId="300" priority="18">
      <formula>$M4="Hoch-normal"</formula>
    </cfRule>
    <cfRule type="expression" dxfId="299" priority="19">
      <formula>$M4="Hypertonie Grad 1"</formula>
    </cfRule>
    <cfRule type="expression" dxfId="298" priority="20">
      <formula>$M4="Hypertonie Grad 2"</formula>
    </cfRule>
    <cfRule type="expression" dxfId="297" priority="21">
      <formula>$M4="Hypertonie Grad 3"</formula>
    </cfRule>
  </conditionalFormatting>
  <printOptions horizontalCentered="1"/>
  <pageMargins left="0.4" right="0.4" top="0.6" bottom="0.6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4"/>
  <sheetViews>
    <sheetView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2" customWidth="1"/>
    <col min="2" max="2" width="9" customWidth="1"/>
    <col min="3" max="3" width="10" customWidth="1"/>
    <col min="4" max="4" width="8" customWidth="1"/>
    <col min="5" max="5" width="15" customWidth="1"/>
    <col min="6" max="6" width="16" customWidth="1"/>
    <col min="7" max="7" width="10" customWidth="1"/>
    <col min="8" max="8" width="8" customWidth="1"/>
    <col min="9" max="9" width="15" customWidth="1"/>
    <col min="10" max="10" width="9" customWidth="1"/>
    <col min="11" max="11" width="10" customWidth="1"/>
    <col min="12" max="12" width="8" customWidth="1"/>
    <col min="13" max="13" width="15" customWidth="1"/>
  </cols>
  <sheetData>
    <row r="1" spans="1:13" x14ac:dyDescent="0.2">
      <c r="A1" s="10" t="s">
        <v>56</v>
      </c>
      <c r="B1" s="11">
        <v>2026</v>
      </c>
      <c r="D1" s="10" t="s">
        <v>31</v>
      </c>
      <c r="E1" s="11">
        <v>2</v>
      </c>
    </row>
    <row r="2" spans="1:13" x14ac:dyDescent="0.2">
      <c r="B2" s="13" t="str">
        <f>IF(Jahresübersicht!A6="","",Jahresübersicht!A6)</f>
        <v/>
      </c>
      <c r="D2" s="13" t="str">
        <f>IF(Jahresübersicht!C6="","",Jahresübersicht!C6)</f>
        <v/>
      </c>
      <c r="F2" s="14" t="str">
        <f>IF(Jahresübersicht!E6="","",Jahresübersicht!E6)</f>
        <v/>
      </c>
      <c r="H2" s="18"/>
      <c r="I2" s="15" t="s">
        <v>57</v>
      </c>
    </row>
    <row r="3" spans="1:13" ht="16" x14ac:dyDescent="0.2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7" t="s">
        <v>63</v>
      </c>
      <c r="G3" s="17" t="s">
        <v>64</v>
      </c>
      <c r="H3" s="17" t="s">
        <v>65</v>
      </c>
      <c r="I3" s="1" t="s">
        <v>66</v>
      </c>
      <c r="J3" s="17" t="s">
        <v>67</v>
      </c>
      <c r="K3" s="17" t="s">
        <v>68</v>
      </c>
      <c r="L3" s="17" t="s">
        <v>69</v>
      </c>
      <c r="M3" s="1" t="s">
        <v>70</v>
      </c>
    </row>
    <row r="4" spans="1:13" x14ac:dyDescent="0.2">
      <c r="A4" s="19">
        <f>IF(DAY(DATE(2026,2+1,0))&gt;=1,DATE(2026,2,1),"")</f>
        <v>46054</v>
      </c>
      <c r="B4" s="16"/>
      <c r="C4" s="16"/>
      <c r="D4" s="16"/>
      <c r="E4" s="12" t="str">
        <f t="shared" ref="E4:E34" si="0">IF(OR(B4="",C4=""),"",IF(OR(B4&lt;90,C4&lt;60),"Zu niedrig",IF(AND(B4&lt;120,C4&lt;80),"Optimal",IF(AND(B4&lt;130,C4&lt;85),"Normal",IF(AND(B4&lt;140,C4&lt;90),"Hoch-normal",IF(AND(B4&lt;160,C4&lt;100),"Hypertonie Grad 1",IF(AND(B4&lt;180,C4&lt;110),"Hypertonie Grad 2","Hypertonie Grad 3")))))))</f>
        <v/>
      </c>
      <c r="F4" s="11"/>
      <c r="G4" s="11"/>
      <c r="H4" s="11"/>
      <c r="I4" s="12" t="str">
        <f t="shared" ref="I4:I34" si="1">IF(OR(F4="",G4=""),"",IF(OR(F4&lt;90,G4&lt;60),"Zu niedrig",IF(AND(F4&lt;120,G4&lt;80),"Optimal",IF(AND(F4&lt;130,G4&lt;85),"Normal",IF(AND(F4&lt;140,G4&lt;90),"Hoch-normal",IF(AND(F4&lt;160,G4&lt;100),"Hypertonie Grad 1",IF(AND(F4&lt;180,G4&lt;110),"Hypertonie Grad 2","Hypertonie Grad 3")))))))</f>
        <v/>
      </c>
      <c r="J4" s="11"/>
      <c r="K4" s="11"/>
      <c r="L4" s="11"/>
      <c r="M4" s="12" t="str">
        <f t="shared" ref="M4:M34" si="2">IF(OR(J4="",K4=""),"",IF(OR(J4&lt;90,K4&lt;60),"Zu niedrig",IF(AND(J4&lt;120,K4&lt;80),"Optimal",IF(AND(J4&lt;130,K4&lt;85),"Normal",IF(AND(J4&lt;140,K4&lt;90),"Hoch-normal",IF(AND(J4&lt;160,K4&lt;100),"Hypertonie Grad 1",IF(AND(J4&lt;180,K4&lt;110),"Hypertonie Grad 2","Hypertonie Grad 3")))))))</f>
        <v/>
      </c>
    </row>
    <row r="5" spans="1:13" x14ac:dyDescent="0.2">
      <c r="A5" s="19">
        <f>IF(DAY(DATE(2026,2+1,0))&gt;=2,DATE(2026,2,2),"")</f>
        <v>46055</v>
      </c>
      <c r="B5" s="16"/>
      <c r="C5" s="16"/>
      <c r="D5" s="16"/>
      <c r="E5" s="12" t="str">
        <f t="shared" si="0"/>
        <v/>
      </c>
      <c r="F5" s="11"/>
      <c r="G5" s="11"/>
      <c r="H5" s="11"/>
      <c r="I5" s="12" t="str">
        <f t="shared" si="1"/>
        <v/>
      </c>
      <c r="J5" s="11"/>
      <c r="K5" s="11"/>
      <c r="L5" s="11"/>
      <c r="M5" s="12" t="str">
        <f t="shared" si="2"/>
        <v/>
      </c>
    </row>
    <row r="6" spans="1:13" x14ac:dyDescent="0.2">
      <c r="A6" s="19">
        <f>IF(DAY(DATE(2026,2+1,0))&gt;=3,DATE(2026,2,3),"")</f>
        <v>46056</v>
      </c>
      <c r="B6" s="16"/>
      <c r="C6" s="16"/>
      <c r="D6" s="16"/>
      <c r="E6" s="12" t="str">
        <f t="shared" si="0"/>
        <v/>
      </c>
      <c r="F6" s="11"/>
      <c r="G6" s="11"/>
      <c r="H6" s="11"/>
      <c r="I6" s="12" t="str">
        <f t="shared" si="1"/>
        <v/>
      </c>
      <c r="J6" s="11"/>
      <c r="K6" s="11"/>
      <c r="L6" s="11"/>
      <c r="M6" s="12" t="str">
        <f t="shared" si="2"/>
        <v/>
      </c>
    </row>
    <row r="7" spans="1:13" x14ac:dyDescent="0.2">
      <c r="A7" s="19">
        <f>IF(DAY(DATE(2026,2+1,0))&gt;=4,DATE(2026,2,4),"")</f>
        <v>46057</v>
      </c>
      <c r="B7" s="16"/>
      <c r="C7" s="16"/>
      <c r="D7" s="16"/>
      <c r="E7" s="12" t="str">
        <f t="shared" si="0"/>
        <v/>
      </c>
      <c r="F7" s="11"/>
      <c r="G7" s="11"/>
      <c r="H7" s="11"/>
      <c r="I7" s="12" t="str">
        <f t="shared" si="1"/>
        <v/>
      </c>
      <c r="J7" s="11"/>
      <c r="K7" s="11"/>
      <c r="L7" s="11"/>
      <c r="M7" s="12" t="str">
        <f t="shared" si="2"/>
        <v/>
      </c>
    </row>
    <row r="8" spans="1:13" x14ac:dyDescent="0.2">
      <c r="A8" s="19">
        <f>IF(DAY(DATE(2026,2+1,0))&gt;=5,DATE(2026,2,5),"")</f>
        <v>46058</v>
      </c>
      <c r="B8" s="16"/>
      <c r="C8" s="16"/>
      <c r="D8" s="16"/>
      <c r="E8" s="12" t="str">
        <f t="shared" si="0"/>
        <v/>
      </c>
      <c r="F8" s="11"/>
      <c r="G8" s="11"/>
      <c r="H8" s="11"/>
      <c r="I8" s="12" t="str">
        <f t="shared" si="1"/>
        <v/>
      </c>
      <c r="J8" s="11"/>
      <c r="K8" s="11"/>
      <c r="L8" s="11"/>
      <c r="M8" s="12" t="str">
        <f t="shared" si="2"/>
        <v/>
      </c>
    </row>
    <row r="9" spans="1:13" x14ac:dyDescent="0.2">
      <c r="A9" s="19">
        <f>IF(DAY(DATE(2026,2+1,0))&gt;=6,DATE(2026,2,6),"")</f>
        <v>46059</v>
      </c>
      <c r="B9" s="16"/>
      <c r="C9" s="16"/>
      <c r="D9" s="16"/>
      <c r="E9" s="12" t="str">
        <f t="shared" si="0"/>
        <v/>
      </c>
      <c r="F9" s="11"/>
      <c r="G9" s="11"/>
      <c r="H9" s="11"/>
      <c r="I9" s="12" t="str">
        <f t="shared" si="1"/>
        <v/>
      </c>
      <c r="J9" s="11"/>
      <c r="K9" s="11"/>
      <c r="L9" s="11"/>
      <c r="M9" s="12" t="str">
        <f t="shared" si="2"/>
        <v/>
      </c>
    </row>
    <row r="10" spans="1:13" x14ac:dyDescent="0.2">
      <c r="A10" s="19">
        <f>IF(DAY(DATE(2026,2+1,0))&gt;=7,DATE(2026,2,7),"")</f>
        <v>46060</v>
      </c>
      <c r="B10" s="16"/>
      <c r="C10" s="16"/>
      <c r="D10" s="16"/>
      <c r="E10" s="12" t="str">
        <f t="shared" si="0"/>
        <v/>
      </c>
      <c r="F10" s="11"/>
      <c r="G10" s="11"/>
      <c r="H10" s="11"/>
      <c r="I10" s="12" t="str">
        <f t="shared" si="1"/>
        <v/>
      </c>
      <c r="J10" s="11"/>
      <c r="K10" s="11"/>
      <c r="L10" s="11"/>
      <c r="M10" s="12" t="str">
        <f t="shared" si="2"/>
        <v/>
      </c>
    </row>
    <row r="11" spans="1:13" x14ac:dyDescent="0.2">
      <c r="A11" s="19">
        <f>IF(DAY(DATE(2026,2+1,0))&gt;=8,DATE(2026,2,8),"")</f>
        <v>46061</v>
      </c>
      <c r="B11" s="16"/>
      <c r="C11" s="16"/>
      <c r="D11" s="16"/>
      <c r="E11" s="12" t="str">
        <f t="shared" si="0"/>
        <v/>
      </c>
      <c r="F11" s="11"/>
      <c r="G11" s="11"/>
      <c r="H11" s="11"/>
      <c r="I11" s="12" t="str">
        <f t="shared" si="1"/>
        <v/>
      </c>
      <c r="J11" s="11"/>
      <c r="K11" s="11"/>
      <c r="L11" s="11"/>
      <c r="M11" s="12" t="str">
        <f t="shared" si="2"/>
        <v/>
      </c>
    </row>
    <row r="12" spans="1:13" x14ac:dyDescent="0.2">
      <c r="A12" s="19">
        <f>IF(DAY(DATE(2026,2+1,0))&gt;=9,DATE(2026,2,9),"")</f>
        <v>46062</v>
      </c>
      <c r="B12" s="16"/>
      <c r="C12" s="16"/>
      <c r="D12" s="16"/>
      <c r="E12" s="12" t="str">
        <f t="shared" si="0"/>
        <v/>
      </c>
      <c r="F12" s="11"/>
      <c r="G12" s="11"/>
      <c r="H12" s="11"/>
      <c r="I12" s="12" t="str">
        <f t="shared" si="1"/>
        <v/>
      </c>
      <c r="J12" s="11"/>
      <c r="K12" s="11"/>
      <c r="L12" s="11"/>
      <c r="M12" s="12" t="str">
        <f t="shared" si="2"/>
        <v/>
      </c>
    </row>
    <row r="13" spans="1:13" x14ac:dyDescent="0.2">
      <c r="A13" s="19">
        <f>IF(DAY(DATE(2026,2+1,0))&gt;=10,DATE(2026,2,10),"")</f>
        <v>46063</v>
      </c>
      <c r="B13" s="16"/>
      <c r="C13" s="16"/>
      <c r="D13" s="16"/>
      <c r="E13" s="12" t="str">
        <f t="shared" si="0"/>
        <v/>
      </c>
      <c r="F13" s="11"/>
      <c r="G13" s="11"/>
      <c r="H13" s="11"/>
      <c r="I13" s="12" t="str">
        <f t="shared" si="1"/>
        <v/>
      </c>
      <c r="J13" s="11"/>
      <c r="K13" s="11"/>
      <c r="L13" s="11"/>
      <c r="M13" s="12" t="str">
        <f t="shared" si="2"/>
        <v/>
      </c>
    </row>
    <row r="14" spans="1:13" x14ac:dyDescent="0.2">
      <c r="A14" s="19">
        <f>IF(DAY(DATE(2026,2+1,0))&gt;=11,DATE(2026,2,11),"")</f>
        <v>46064</v>
      </c>
      <c r="B14" s="16"/>
      <c r="C14" s="16"/>
      <c r="D14" s="16"/>
      <c r="E14" s="12" t="str">
        <f t="shared" si="0"/>
        <v/>
      </c>
      <c r="F14" s="11"/>
      <c r="G14" s="11"/>
      <c r="H14" s="11"/>
      <c r="I14" s="12" t="str">
        <f t="shared" si="1"/>
        <v/>
      </c>
      <c r="J14" s="11"/>
      <c r="K14" s="11"/>
      <c r="L14" s="11"/>
      <c r="M14" s="12" t="str">
        <f t="shared" si="2"/>
        <v/>
      </c>
    </row>
    <row r="15" spans="1:13" x14ac:dyDescent="0.2">
      <c r="A15" s="19">
        <f>IF(DAY(DATE(2026,2+1,0))&gt;=12,DATE(2026,2,12),"")</f>
        <v>46065</v>
      </c>
      <c r="B15" s="16"/>
      <c r="C15" s="16"/>
      <c r="D15" s="16"/>
      <c r="E15" s="12" t="str">
        <f t="shared" si="0"/>
        <v/>
      </c>
      <c r="F15" s="11"/>
      <c r="G15" s="11"/>
      <c r="H15" s="11"/>
      <c r="I15" s="12" t="str">
        <f t="shared" si="1"/>
        <v/>
      </c>
      <c r="J15" s="11"/>
      <c r="K15" s="11"/>
      <c r="L15" s="11"/>
      <c r="M15" s="12" t="str">
        <f t="shared" si="2"/>
        <v/>
      </c>
    </row>
    <row r="16" spans="1:13" x14ac:dyDescent="0.2">
      <c r="A16" s="19">
        <f>IF(DAY(DATE(2026,2+1,0))&gt;=13,DATE(2026,2,13),"")</f>
        <v>46066</v>
      </c>
      <c r="B16" s="16"/>
      <c r="C16" s="16"/>
      <c r="D16" s="16"/>
      <c r="E16" s="12" t="str">
        <f t="shared" si="0"/>
        <v/>
      </c>
      <c r="F16" s="11"/>
      <c r="G16" s="11"/>
      <c r="H16" s="11"/>
      <c r="I16" s="12" t="str">
        <f t="shared" si="1"/>
        <v/>
      </c>
      <c r="J16" s="11"/>
      <c r="K16" s="11"/>
      <c r="L16" s="11"/>
      <c r="M16" s="12" t="str">
        <f t="shared" si="2"/>
        <v/>
      </c>
    </row>
    <row r="17" spans="1:13" x14ac:dyDescent="0.2">
      <c r="A17" s="19">
        <f>IF(DAY(DATE(2026,2+1,0))&gt;=14,DATE(2026,2,14),"")</f>
        <v>46067</v>
      </c>
      <c r="B17" s="16"/>
      <c r="C17" s="16"/>
      <c r="D17" s="16"/>
      <c r="E17" s="12" t="str">
        <f t="shared" si="0"/>
        <v/>
      </c>
      <c r="F17" s="11"/>
      <c r="G17" s="11"/>
      <c r="H17" s="11"/>
      <c r="I17" s="12" t="str">
        <f t="shared" si="1"/>
        <v/>
      </c>
      <c r="J17" s="11"/>
      <c r="K17" s="11"/>
      <c r="L17" s="11"/>
      <c r="M17" s="12" t="str">
        <f t="shared" si="2"/>
        <v/>
      </c>
    </row>
    <row r="18" spans="1:13" x14ac:dyDescent="0.2">
      <c r="A18" s="19">
        <f>IF(DAY(DATE(2026,2+1,0))&gt;=15,DATE(2026,2,15),"")</f>
        <v>46068</v>
      </c>
      <c r="B18" s="16"/>
      <c r="C18" s="16"/>
      <c r="D18" s="16"/>
      <c r="E18" s="12" t="str">
        <f t="shared" si="0"/>
        <v/>
      </c>
      <c r="F18" s="11"/>
      <c r="G18" s="11"/>
      <c r="H18" s="11"/>
      <c r="I18" s="12" t="str">
        <f t="shared" si="1"/>
        <v/>
      </c>
      <c r="J18" s="11"/>
      <c r="K18" s="11"/>
      <c r="L18" s="11"/>
      <c r="M18" s="12" t="str">
        <f t="shared" si="2"/>
        <v/>
      </c>
    </row>
    <row r="19" spans="1:13" x14ac:dyDescent="0.2">
      <c r="A19" s="19">
        <f>IF(DAY(DATE(2026,2+1,0))&gt;=16,DATE(2026,2,16),"")</f>
        <v>46069</v>
      </c>
      <c r="B19" s="16"/>
      <c r="C19" s="16"/>
      <c r="D19" s="16"/>
      <c r="E19" s="12" t="str">
        <f t="shared" si="0"/>
        <v/>
      </c>
      <c r="F19" s="11"/>
      <c r="G19" s="11"/>
      <c r="H19" s="11"/>
      <c r="I19" s="12" t="str">
        <f t="shared" si="1"/>
        <v/>
      </c>
      <c r="J19" s="11"/>
      <c r="K19" s="11"/>
      <c r="L19" s="11"/>
      <c r="M19" s="12" t="str">
        <f t="shared" si="2"/>
        <v/>
      </c>
    </row>
    <row r="20" spans="1:13" x14ac:dyDescent="0.2">
      <c r="A20" s="19">
        <f>IF(DAY(DATE(2026,2+1,0))&gt;=17,DATE(2026,2,17),"")</f>
        <v>46070</v>
      </c>
      <c r="B20" s="16"/>
      <c r="C20" s="16"/>
      <c r="D20" s="16"/>
      <c r="E20" s="12" t="str">
        <f t="shared" si="0"/>
        <v/>
      </c>
      <c r="F20" s="11"/>
      <c r="G20" s="11"/>
      <c r="H20" s="11"/>
      <c r="I20" s="12" t="str">
        <f t="shared" si="1"/>
        <v/>
      </c>
      <c r="J20" s="11"/>
      <c r="K20" s="11"/>
      <c r="L20" s="11"/>
      <c r="M20" s="12" t="str">
        <f t="shared" si="2"/>
        <v/>
      </c>
    </row>
    <row r="21" spans="1:13" x14ac:dyDescent="0.2">
      <c r="A21" s="19">
        <f>IF(DAY(DATE(2026,2+1,0))&gt;=18,DATE(2026,2,18),"")</f>
        <v>46071</v>
      </c>
      <c r="B21" s="16"/>
      <c r="C21" s="16"/>
      <c r="D21" s="16"/>
      <c r="E21" s="12" t="str">
        <f t="shared" si="0"/>
        <v/>
      </c>
      <c r="F21" s="11"/>
      <c r="G21" s="11"/>
      <c r="H21" s="11"/>
      <c r="I21" s="12" t="str">
        <f t="shared" si="1"/>
        <v/>
      </c>
      <c r="J21" s="11"/>
      <c r="K21" s="11"/>
      <c r="L21" s="11"/>
      <c r="M21" s="12" t="str">
        <f t="shared" si="2"/>
        <v/>
      </c>
    </row>
    <row r="22" spans="1:13" x14ac:dyDescent="0.2">
      <c r="A22" s="19">
        <f>IF(DAY(DATE(2026,2+1,0))&gt;=19,DATE(2026,2,19),"")</f>
        <v>46072</v>
      </c>
      <c r="B22" s="16"/>
      <c r="C22" s="16"/>
      <c r="D22" s="16"/>
      <c r="E22" s="12" t="str">
        <f t="shared" si="0"/>
        <v/>
      </c>
      <c r="F22" s="11"/>
      <c r="G22" s="11"/>
      <c r="H22" s="11"/>
      <c r="I22" s="12" t="str">
        <f t="shared" si="1"/>
        <v/>
      </c>
      <c r="J22" s="11"/>
      <c r="K22" s="11"/>
      <c r="L22" s="11"/>
      <c r="M22" s="12" t="str">
        <f t="shared" si="2"/>
        <v/>
      </c>
    </row>
    <row r="23" spans="1:13" x14ac:dyDescent="0.2">
      <c r="A23" s="19">
        <f>IF(DAY(DATE(2026,2+1,0))&gt;=20,DATE(2026,2,20),"")</f>
        <v>46073</v>
      </c>
      <c r="B23" s="16"/>
      <c r="C23" s="16"/>
      <c r="D23" s="16"/>
      <c r="E23" s="12" t="str">
        <f t="shared" si="0"/>
        <v/>
      </c>
      <c r="F23" s="11"/>
      <c r="G23" s="11"/>
      <c r="H23" s="11"/>
      <c r="I23" s="12" t="str">
        <f t="shared" si="1"/>
        <v/>
      </c>
      <c r="J23" s="11"/>
      <c r="K23" s="11"/>
      <c r="L23" s="11"/>
      <c r="M23" s="12" t="str">
        <f t="shared" si="2"/>
        <v/>
      </c>
    </row>
    <row r="24" spans="1:13" x14ac:dyDescent="0.2">
      <c r="A24" s="19">
        <f>IF(DAY(DATE(2026,2+1,0))&gt;=21,DATE(2026,2,21),"")</f>
        <v>46074</v>
      </c>
      <c r="B24" s="16"/>
      <c r="C24" s="16"/>
      <c r="D24" s="16"/>
      <c r="E24" s="12" t="str">
        <f t="shared" si="0"/>
        <v/>
      </c>
      <c r="F24" s="11"/>
      <c r="G24" s="11"/>
      <c r="H24" s="11"/>
      <c r="I24" s="12" t="str">
        <f t="shared" si="1"/>
        <v/>
      </c>
      <c r="J24" s="11"/>
      <c r="K24" s="11"/>
      <c r="L24" s="11"/>
      <c r="M24" s="12" t="str">
        <f t="shared" si="2"/>
        <v/>
      </c>
    </row>
    <row r="25" spans="1:13" x14ac:dyDescent="0.2">
      <c r="A25" s="19">
        <f>IF(DAY(DATE(2026,2+1,0))&gt;=22,DATE(2026,2,22),"")</f>
        <v>46075</v>
      </c>
      <c r="B25" s="16"/>
      <c r="C25" s="16"/>
      <c r="D25" s="16"/>
      <c r="E25" s="12" t="str">
        <f t="shared" si="0"/>
        <v/>
      </c>
      <c r="F25" s="11"/>
      <c r="G25" s="11"/>
      <c r="H25" s="11"/>
      <c r="I25" s="12" t="str">
        <f t="shared" si="1"/>
        <v/>
      </c>
      <c r="J25" s="11"/>
      <c r="K25" s="11"/>
      <c r="L25" s="11"/>
      <c r="M25" s="12" t="str">
        <f t="shared" si="2"/>
        <v/>
      </c>
    </row>
    <row r="26" spans="1:13" x14ac:dyDescent="0.2">
      <c r="A26" s="19">
        <f>IF(DAY(DATE(2026,2+1,0))&gt;=23,DATE(2026,2,23),"")</f>
        <v>46076</v>
      </c>
      <c r="B26" s="16"/>
      <c r="C26" s="16"/>
      <c r="D26" s="16"/>
      <c r="E26" s="12" t="str">
        <f t="shared" si="0"/>
        <v/>
      </c>
      <c r="F26" s="11"/>
      <c r="G26" s="11"/>
      <c r="H26" s="11"/>
      <c r="I26" s="12" t="str">
        <f t="shared" si="1"/>
        <v/>
      </c>
      <c r="J26" s="11"/>
      <c r="K26" s="11"/>
      <c r="L26" s="11"/>
      <c r="M26" s="12" t="str">
        <f t="shared" si="2"/>
        <v/>
      </c>
    </row>
    <row r="27" spans="1:13" x14ac:dyDescent="0.2">
      <c r="A27" s="19">
        <f>IF(DAY(DATE(2026,2+1,0))&gt;=24,DATE(2026,2,24),"")</f>
        <v>46077</v>
      </c>
      <c r="B27" s="16"/>
      <c r="C27" s="16"/>
      <c r="D27" s="16"/>
      <c r="E27" s="12" t="str">
        <f t="shared" si="0"/>
        <v/>
      </c>
      <c r="F27" s="11"/>
      <c r="G27" s="11"/>
      <c r="H27" s="11"/>
      <c r="I27" s="12" t="str">
        <f t="shared" si="1"/>
        <v/>
      </c>
      <c r="J27" s="11"/>
      <c r="K27" s="11"/>
      <c r="L27" s="11"/>
      <c r="M27" s="12" t="str">
        <f t="shared" si="2"/>
        <v/>
      </c>
    </row>
    <row r="28" spans="1:13" x14ac:dyDescent="0.2">
      <c r="A28" s="19">
        <f>IF(DAY(DATE(2026,2+1,0))&gt;=25,DATE(2026,2,25),"")</f>
        <v>46078</v>
      </c>
      <c r="B28" s="16"/>
      <c r="C28" s="16"/>
      <c r="D28" s="16"/>
      <c r="E28" s="12" t="str">
        <f t="shared" si="0"/>
        <v/>
      </c>
      <c r="F28" s="11"/>
      <c r="G28" s="11"/>
      <c r="H28" s="11"/>
      <c r="I28" s="12" t="str">
        <f t="shared" si="1"/>
        <v/>
      </c>
      <c r="J28" s="11"/>
      <c r="K28" s="11"/>
      <c r="L28" s="11"/>
      <c r="M28" s="12" t="str">
        <f t="shared" si="2"/>
        <v/>
      </c>
    </row>
    <row r="29" spans="1:13" x14ac:dyDescent="0.2">
      <c r="A29" s="19">
        <f>IF(DAY(DATE(2026,2+1,0))&gt;=26,DATE(2026,2,26),"")</f>
        <v>46079</v>
      </c>
      <c r="B29" s="16"/>
      <c r="C29" s="16"/>
      <c r="D29" s="16"/>
      <c r="E29" s="12" t="str">
        <f t="shared" si="0"/>
        <v/>
      </c>
      <c r="F29" s="11"/>
      <c r="G29" s="11"/>
      <c r="H29" s="11"/>
      <c r="I29" s="12" t="str">
        <f t="shared" si="1"/>
        <v/>
      </c>
      <c r="J29" s="11"/>
      <c r="K29" s="11"/>
      <c r="L29" s="11"/>
      <c r="M29" s="12" t="str">
        <f t="shared" si="2"/>
        <v/>
      </c>
    </row>
    <row r="30" spans="1:13" x14ac:dyDescent="0.2">
      <c r="A30" s="19">
        <f>IF(DAY(DATE(2026,2+1,0))&gt;=27,DATE(2026,2,27),"")</f>
        <v>46080</v>
      </c>
      <c r="B30" s="16"/>
      <c r="C30" s="16"/>
      <c r="D30" s="16"/>
      <c r="E30" s="12" t="str">
        <f t="shared" si="0"/>
        <v/>
      </c>
      <c r="F30" s="11"/>
      <c r="G30" s="11"/>
      <c r="H30" s="11"/>
      <c r="I30" s="12" t="str">
        <f t="shared" si="1"/>
        <v/>
      </c>
      <c r="J30" s="11"/>
      <c r="K30" s="11"/>
      <c r="L30" s="11"/>
      <c r="M30" s="12" t="str">
        <f t="shared" si="2"/>
        <v/>
      </c>
    </row>
    <row r="31" spans="1:13" x14ac:dyDescent="0.2">
      <c r="A31" s="19">
        <f>IF(DAY(DATE(2026,2+1,0))&gt;=28,DATE(2026,2,28),"")</f>
        <v>46081</v>
      </c>
      <c r="B31" s="16"/>
      <c r="C31" s="16"/>
      <c r="D31" s="16"/>
      <c r="E31" s="12" t="str">
        <f t="shared" si="0"/>
        <v/>
      </c>
      <c r="F31" s="11"/>
      <c r="G31" s="11"/>
      <c r="H31" s="11"/>
      <c r="I31" s="12" t="str">
        <f t="shared" si="1"/>
        <v/>
      </c>
      <c r="J31" s="11"/>
      <c r="K31" s="11"/>
      <c r="L31" s="11"/>
      <c r="M31" s="12" t="str">
        <f t="shared" si="2"/>
        <v/>
      </c>
    </row>
    <row r="32" spans="1:13" x14ac:dyDescent="0.2">
      <c r="A32" s="19" t="str">
        <f>IF(DAY(DATE(2026,2+1,0))&gt;=29,DATE(2026,2,29),"")</f>
        <v/>
      </c>
      <c r="B32" s="16"/>
      <c r="C32" s="16"/>
      <c r="D32" s="16"/>
      <c r="E32" s="12" t="str">
        <f t="shared" si="0"/>
        <v/>
      </c>
      <c r="F32" s="11"/>
      <c r="G32" s="11"/>
      <c r="H32" s="11"/>
      <c r="I32" s="12" t="str">
        <f t="shared" si="1"/>
        <v/>
      </c>
      <c r="J32" s="11"/>
      <c r="K32" s="11"/>
      <c r="L32" s="11"/>
      <c r="M32" s="12" t="str">
        <f t="shared" si="2"/>
        <v/>
      </c>
    </row>
    <row r="33" spans="1:13" x14ac:dyDescent="0.2">
      <c r="A33" s="19" t="str">
        <f>IF(DAY(DATE(2026,2+1,0))&gt;=30,DATE(2026,2,30),"")</f>
        <v/>
      </c>
      <c r="B33" s="16"/>
      <c r="C33" s="16"/>
      <c r="D33" s="16"/>
      <c r="E33" s="12" t="str">
        <f t="shared" si="0"/>
        <v/>
      </c>
      <c r="F33" s="11"/>
      <c r="G33" s="11"/>
      <c r="H33" s="11"/>
      <c r="I33" s="12" t="str">
        <f t="shared" si="1"/>
        <v/>
      </c>
      <c r="J33" s="11"/>
      <c r="K33" s="11"/>
      <c r="L33" s="11"/>
      <c r="M33" s="12" t="str">
        <f t="shared" si="2"/>
        <v/>
      </c>
    </row>
    <row r="34" spans="1:13" x14ac:dyDescent="0.2">
      <c r="A34" s="19" t="str">
        <f>IF(DAY(DATE(2026,2+1,0))&gt;=31,DATE(2026,2,31),"")</f>
        <v/>
      </c>
      <c r="B34" s="16"/>
      <c r="C34" s="16"/>
      <c r="D34" s="16"/>
      <c r="E34" s="12" t="str">
        <f t="shared" si="0"/>
        <v/>
      </c>
      <c r="F34" s="11"/>
      <c r="G34" s="11"/>
      <c r="H34" s="11"/>
      <c r="I34" s="12" t="str">
        <f t="shared" si="1"/>
        <v/>
      </c>
      <c r="J34" s="11"/>
      <c r="K34" s="11"/>
      <c r="L34" s="11"/>
      <c r="M34" s="12" t="str">
        <f t="shared" si="2"/>
        <v/>
      </c>
    </row>
  </sheetData>
  <sheetProtection password="CB1D" sheet="1"/>
  <conditionalFormatting sqref="B4:D34">
    <cfRule type="expression" dxfId="296" priority="23">
      <formula>$E4="Hypertonie Grad 3"</formula>
    </cfRule>
    <cfRule type="expression" dxfId="295" priority="22">
      <formula>$E4="Hypertonie Grad 2"</formula>
    </cfRule>
  </conditionalFormatting>
  <conditionalFormatting sqref="E4:E34">
    <cfRule type="expression" dxfId="294" priority="1">
      <formula>$E4="Zu niedrig"</formula>
    </cfRule>
    <cfRule type="expression" dxfId="293" priority="2">
      <formula>$E4="Optimal"</formula>
    </cfRule>
    <cfRule type="expression" dxfId="292" priority="3">
      <formula>$E4="Normal"</formula>
    </cfRule>
    <cfRule type="expression" dxfId="291" priority="4">
      <formula>$E4="Hoch-normal"</formula>
    </cfRule>
    <cfRule type="expression" dxfId="290" priority="5">
      <formula>$E4="Hypertonie Grad 1"</formula>
    </cfRule>
    <cfRule type="expression" dxfId="289" priority="6">
      <formula>$E4="Hypertonie Grad 2"</formula>
    </cfRule>
    <cfRule type="expression" dxfId="288" priority="7">
      <formula>$E4="Hypertonie Grad 3"</formula>
    </cfRule>
  </conditionalFormatting>
  <conditionalFormatting sqref="F4:H34">
    <cfRule type="expression" dxfId="287" priority="25">
      <formula>$I4="Hypertonie Grad 3"</formula>
    </cfRule>
    <cfRule type="expression" dxfId="286" priority="24">
      <formula>$I4="Hypertonie Grad 2"</formula>
    </cfRule>
  </conditionalFormatting>
  <conditionalFormatting sqref="I4:I34">
    <cfRule type="expression" dxfId="285" priority="14">
      <formula>$I4="Hypertonie Grad 3"</formula>
    </cfRule>
    <cfRule type="expression" dxfId="284" priority="13">
      <formula>$I4="Hypertonie Grad 2"</formula>
    </cfRule>
    <cfRule type="expression" dxfId="283" priority="12">
      <formula>$I4="Hypertonie Grad 1"</formula>
    </cfRule>
    <cfRule type="expression" dxfId="282" priority="11">
      <formula>$I4="Hoch-normal"</formula>
    </cfRule>
    <cfRule type="expression" dxfId="281" priority="10">
      <formula>$I4="Normal"</formula>
    </cfRule>
    <cfRule type="expression" dxfId="280" priority="9">
      <formula>$I4="Optimal"</formula>
    </cfRule>
    <cfRule type="expression" dxfId="279" priority="8">
      <formula>$I4="Zu niedrig"</formula>
    </cfRule>
  </conditionalFormatting>
  <conditionalFormatting sqref="J4:L34">
    <cfRule type="expression" dxfId="278" priority="26">
      <formula>$M4="Hypertonie Grad 2"</formula>
    </cfRule>
    <cfRule type="expression" dxfId="277" priority="27">
      <formula>$M4="Hypertonie Grad 3"</formula>
    </cfRule>
  </conditionalFormatting>
  <conditionalFormatting sqref="M4:M34">
    <cfRule type="expression" dxfId="276" priority="15">
      <formula>$M4="Zu niedrig"</formula>
    </cfRule>
    <cfRule type="expression" dxfId="275" priority="16">
      <formula>$M4="Optimal"</formula>
    </cfRule>
    <cfRule type="expression" dxfId="274" priority="17">
      <formula>$M4="Normal"</formula>
    </cfRule>
    <cfRule type="expression" dxfId="273" priority="18">
      <formula>$M4="Hoch-normal"</formula>
    </cfRule>
    <cfRule type="expression" dxfId="272" priority="19">
      <formula>$M4="Hypertonie Grad 1"</formula>
    </cfRule>
    <cfRule type="expression" dxfId="271" priority="20">
      <formula>$M4="Hypertonie Grad 2"</formula>
    </cfRule>
    <cfRule type="expression" dxfId="270" priority="21">
      <formula>$M4="Hypertonie Grad 3"</formula>
    </cfRule>
  </conditionalFormatting>
  <printOptions horizontalCentered="1"/>
  <pageMargins left="0.4" right="0.4" top="0.6" bottom="0.6" header="0.5" footer="0.5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4"/>
  <sheetViews>
    <sheetView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2" customWidth="1"/>
    <col min="2" max="2" width="9" customWidth="1"/>
    <col min="3" max="3" width="10" customWidth="1"/>
    <col min="4" max="4" width="8" customWidth="1"/>
    <col min="5" max="5" width="15" customWidth="1"/>
    <col min="6" max="6" width="16" customWidth="1"/>
    <col min="7" max="7" width="10" customWidth="1"/>
    <col min="8" max="8" width="8" customWidth="1"/>
    <col min="9" max="9" width="15" customWidth="1"/>
    <col min="10" max="10" width="9" customWidth="1"/>
    <col min="11" max="11" width="10" customWidth="1"/>
    <col min="12" max="12" width="8" customWidth="1"/>
    <col min="13" max="13" width="15" customWidth="1"/>
  </cols>
  <sheetData>
    <row r="1" spans="1:13" x14ac:dyDescent="0.2">
      <c r="A1" s="10" t="s">
        <v>56</v>
      </c>
      <c r="B1" s="11">
        <v>2026</v>
      </c>
      <c r="D1" s="10" t="s">
        <v>31</v>
      </c>
      <c r="E1" s="11">
        <v>3</v>
      </c>
    </row>
    <row r="2" spans="1:13" x14ac:dyDescent="0.2">
      <c r="B2" s="13" t="str">
        <f>IF(Jahresübersicht!A6="","",Jahresübersicht!A6)</f>
        <v/>
      </c>
      <c r="D2" s="13" t="str">
        <f>IF(Jahresübersicht!C6="","",Jahresübersicht!C6)</f>
        <v/>
      </c>
      <c r="F2" s="14" t="str">
        <f>IF(Jahresübersicht!E6="","",Jahresübersicht!E6)</f>
        <v/>
      </c>
      <c r="H2" s="18"/>
      <c r="I2" s="15" t="s">
        <v>57</v>
      </c>
    </row>
    <row r="3" spans="1:13" ht="16" x14ac:dyDescent="0.2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7" t="s">
        <v>63</v>
      </c>
      <c r="G3" s="17" t="s">
        <v>64</v>
      </c>
      <c r="H3" s="17" t="s">
        <v>65</v>
      </c>
      <c r="I3" s="1" t="s">
        <v>66</v>
      </c>
      <c r="J3" s="17" t="s">
        <v>67</v>
      </c>
      <c r="K3" s="17" t="s">
        <v>68</v>
      </c>
      <c r="L3" s="17" t="s">
        <v>69</v>
      </c>
      <c r="M3" s="1" t="s">
        <v>70</v>
      </c>
    </row>
    <row r="4" spans="1:13" x14ac:dyDescent="0.2">
      <c r="A4" s="19">
        <f>IF(DAY(DATE(2026,3+1,0))&gt;=1,DATE(2026,3,1),"")</f>
        <v>46082</v>
      </c>
      <c r="B4" s="16"/>
      <c r="C4" s="16"/>
      <c r="D4" s="16"/>
      <c r="E4" s="12" t="str">
        <f t="shared" ref="E4:E34" si="0">IF(OR(B4="",C4=""),"",IF(OR(B4&lt;90,C4&lt;60),"Zu niedrig",IF(AND(B4&lt;120,C4&lt;80),"Optimal",IF(AND(B4&lt;130,C4&lt;85),"Normal",IF(AND(B4&lt;140,C4&lt;90),"Hoch-normal",IF(AND(B4&lt;160,C4&lt;100),"Hypertonie Grad 1",IF(AND(B4&lt;180,C4&lt;110),"Hypertonie Grad 2","Hypertonie Grad 3")))))))</f>
        <v/>
      </c>
      <c r="F4" s="11"/>
      <c r="G4" s="11"/>
      <c r="H4" s="11"/>
      <c r="I4" s="12" t="str">
        <f t="shared" ref="I4:I34" si="1">IF(OR(F4="",G4=""),"",IF(OR(F4&lt;90,G4&lt;60),"Zu niedrig",IF(AND(F4&lt;120,G4&lt;80),"Optimal",IF(AND(F4&lt;130,G4&lt;85),"Normal",IF(AND(F4&lt;140,G4&lt;90),"Hoch-normal",IF(AND(F4&lt;160,G4&lt;100),"Hypertonie Grad 1",IF(AND(F4&lt;180,G4&lt;110),"Hypertonie Grad 2","Hypertonie Grad 3")))))))</f>
        <v/>
      </c>
      <c r="J4" s="11"/>
      <c r="K4" s="11"/>
      <c r="L4" s="11"/>
      <c r="M4" s="12" t="str">
        <f t="shared" ref="M4:M34" si="2">IF(OR(J4="",K4=""),"",IF(OR(J4&lt;90,K4&lt;60),"Zu niedrig",IF(AND(J4&lt;120,K4&lt;80),"Optimal",IF(AND(J4&lt;130,K4&lt;85),"Normal",IF(AND(J4&lt;140,K4&lt;90),"Hoch-normal",IF(AND(J4&lt;160,K4&lt;100),"Hypertonie Grad 1",IF(AND(J4&lt;180,K4&lt;110),"Hypertonie Grad 2","Hypertonie Grad 3")))))))</f>
        <v/>
      </c>
    </row>
    <row r="5" spans="1:13" x14ac:dyDescent="0.2">
      <c r="A5" s="19">
        <f>IF(DAY(DATE(2026,3+1,0))&gt;=2,DATE(2026,3,2),"")</f>
        <v>46083</v>
      </c>
      <c r="B5" s="16"/>
      <c r="C5" s="16"/>
      <c r="D5" s="16"/>
      <c r="E5" s="12" t="str">
        <f t="shared" si="0"/>
        <v/>
      </c>
      <c r="F5" s="11"/>
      <c r="G5" s="11"/>
      <c r="H5" s="11"/>
      <c r="I5" s="12" t="str">
        <f t="shared" si="1"/>
        <v/>
      </c>
      <c r="J5" s="11"/>
      <c r="K5" s="11"/>
      <c r="L5" s="11"/>
      <c r="M5" s="12" t="str">
        <f t="shared" si="2"/>
        <v/>
      </c>
    </row>
    <row r="6" spans="1:13" x14ac:dyDescent="0.2">
      <c r="A6" s="19">
        <f>IF(DAY(DATE(2026,3+1,0))&gt;=3,DATE(2026,3,3),"")</f>
        <v>46084</v>
      </c>
      <c r="B6" s="16"/>
      <c r="C6" s="16"/>
      <c r="D6" s="16"/>
      <c r="E6" s="12" t="str">
        <f t="shared" si="0"/>
        <v/>
      </c>
      <c r="F6" s="11"/>
      <c r="G6" s="11"/>
      <c r="H6" s="11"/>
      <c r="I6" s="12" t="str">
        <f t="shared" si="1"/>
        <v/>
      </c>
      <c r="J6" s="11"/>
      <c r="K6" s="11"/>
      <c r="L6" s="11"/>
      <c r="M6" s="12" t="str">
        <f t="shared" si="2"/>
        <v/>
      </c>
    </row>
    <row r="7" spans="1:13" x14ac:dyDescent="0.2">
      <c r="A7" s="19">
        <f>IF(DAY(DATE(2026,3+1,0))&gt;=4,DATE(2026,3,4),"")</f>
        <v>46085</v>
      </c>
      <c r="B7" s="16"/>
      <c r="C7" s="16"/>
      <c r="D7" s="16"/>
      <c r="E7" s="12" t="str">
        <f t="shared" si="0"/>
        <v/>
      </c>
      <c r="F7" s="11"/>
      <c r="G7" s="11"/>
      <c r="H7" s="11"/>
      <c r="I7" s="12" t="str">
        <f t="shared" si="1"/>
        <v/>
      </c>
      <c r="J7" s="11"/>
      <c r="K7" s="11"/>
      <c r="L7" s="11"/>
      <c r="M7" s="12" t="str">
        <f t="shared" si="2"/>
        <v/>
      </c>
    </row>
    <row r="8" spans="1:13" x14ac:dyDescent="0.2">
      <c r="A8" s="19">
        <f>IF(DAY(DATE(2026,3+1,0))&gt;=5,DATE(2026,3,5),"")</f>
        <v>46086</v>
      </c>
      <c r="B8" s="16"/>
      <c r="C8" s="16"/>
      <c r="D8" s="16"/>
      <c r="E8" s="12" t="str">
        <f t="shared" si="0"/>
        <v/>
      </c>
      <c r="F8" s="11"/>
      <c r="G8" s="11"/>
      <c r="H8" s="11"/>
      <c r="I8" s="12" t="str">
        <f t="shared" si="1"/>
        <v/>
      </c>
      <c r="J8" s="11"/>
      <c r="K8" s="11"/>
      <c r="L8" s="11"/>
      <c r="M8" s="12" t="str">
        <f t="shared" si="2"/>
        <v/>
      </c>
    </row>
    <row r="9" spans="1:13" x14ac:dyDescent="0.2">
      <c r="A9" s="19">
        <f>IF(DAY(DATE(2026,3+1,0))&gt;=6,DATE(2026,3,6),"")</f>
        <v>46087</v>
      </c>
      <c r="B9" s="16"/>
      <c r="C9" s="16"/>
      <c r="D9" s="16"/>
      <c r="E9" s="12" t="str">
        <f t="shared" si="0"/>
        <v/>
      </c>
      <c r="F9" s="11"/>
      <c r="G9" s="11"/>
      <c r="H9" s="11"/>
      <c r="I9" s="12" t="str">
        <f t="shared" si="1"/>
        <v/>
      </c>
      <c r="J9" s="11"/>
      <c r="K9" s="11"/>
      <c r="L9" s="11"/>
      <c r="M9" s="12" t="str">
        <f t="shared" si="2"/>
        <v/>
      </c>
    </row>
    <row r="10" spans="1:13" x14ac:dyDescent="0.2">
      <c r="A10" s="19">
        <f>IF(DAY(DATE(2026,3+1,0))&gt;=7,DATE(2026,3,7),"")</f>
        <v>46088</v>
      </c>
      <c r="B10" s="16"/>
      <c r="C10" s="16"/>
      <c r="D10" s="16"/>
      <c r="E10" s="12" t="str">
        <f t="shared" si="0"/>
        <v/>
      </c>
      <c r="F10" s="11"/>
      <c r="G10" s="11"/>
      <c r="H10" s="11"/>
      <c r="I10" s="12" t="str">
        <f t="shared" si="1"/>
        <v/>
      </c>
      <c r="J10" s="11"/>
      <c r="K10" s="11"/>
      <c r="L10" s="11"/>
      <c r="M10" s="12" t="str">
        <f t="shared" si="2"/>
        <v/>
      </c>
    </row>
    <row r="11" spans="1:13" x14ac:dyDescent="0.2">
      <c r="A11" s="19">
        <f>IF(DAY(DATE(2026,3+1,0))&gt;=8,DATE(2026,3,8),"")</f>
        <v>46089</v>
      </c>
      <c r="B11" s="16"/>
      <c r="C11" s="16"/>
      <c r="D11" s="16"/>
      <c r="E11" s="12" t="str">
        <f t="shared" si="0"/>
        <v/>
      </c>
      <c r="F11" s="11"/>
      <c r="G11" s="11"/>
      <c r="H11" s="11"/>
      <c r="I11" s="12" t="str">
        <f t="shared" si="1"/>
        <v/>
      </c>
      <c r="J11" s="11"/>
      <c r="K11" s="11"/>
      <c r="L11" s="11"/>
      <c r="M11" s="12" t="str">
        <f t="shared" si="2"/>
        <v/>
      </c>
    </row>
    <row r="12" spans="1:13" x14ac:dyDescent="0.2">
      <c r="A12" s="19">
        <f>IF(DAY(DATE(2026,3+1,0))&gt;=9,DATE(2026,3,9),"")</f>
        <v>46090</v>
      </c>
      <c r="B12" s="16"/>
      <c r="C12" s="16"/>
      <c r="D12" s="16"/>
      <c r="E12" s="12" t="str">
        <f t="shared" si="0"/>
        <v/>
      </c>
      <c r="F12" s="11"/>
      <c r="G12" s="11"/>
      <c r="H12" s="11"/>
      <c r="I12" s="12" t="str">
        <f t="shared" si="1"/>
        <v/>
      </c>
      <c r="J12" s="11"/>
      <c r="K12" s="11"/>
      <c r="L12" s="11"/>
      <c r="M12" s="12" t="str">
        <f t="shared" si="2"/>
        <v/>
      </c>
    </row>
    <row r="13" spans="1:13" x14ac:dyDescent="0.2">
      <c r="A13" s="19">
        <f>IF(DAY(DATE(2026,3+1,0))&gt;=10,DATE(2026,3,10),"")</f>
        <v>46091</v>
      </c>
      <c r="B13" s="16"/>
      <c r="C13" s="16"/>
      <c r="D13" s="16"/>
      <c r="E13" s="12" t="str">
        <f t="shared" si="0"/>
        <v/>
      </c>
      <c r="F13" s="11"/>
      <c r="G13" s="11"/>
      <c r="H13" s="11"/>
      <c r="I13" s="12" t="str">
        <f t="shared" si="1"/>
        <v/>
      </c>
      <c r="J13" s="11"/>
      <c r="K13" s="11"/>
      <c r="L13" s="11"/>
      <c r="M13" s="12" t="str">
        <f t="shared" si="2"/>
        <v/>
      </c>
    </row>
    <row r="14" spans="1:13" x14ac:dyDescent="0.2">
      <c r="A14" s="19">
        <f>IF(DAY(DATE(2026,3+1,0))&gt;=11,DATE(2026,3,11),"")</f>
        <v>46092</v>
      </c>
      <c r="B14" s="16"/>
      <c r="C14" s="16"/>
      <c r="D14" s="16"/>
      <c r="E14" s="12" t="str">
        <f t="shared" si="0"/>
        <v/>
      </c>
      <c r="F14" s="11"/>
      <c r="G14" s="11"/>
      <c r="H14" s="11"/>
      <c r="I14" s="12" t="str">
        <f t="shared" si="1"/>
        <v/>
      </c>
      <c r="J14" s="11"/>
      <c r="K14" s="11"/>
      <c r="L14" s="11"/>
      <c r="M14" s="12" t="str">
        <f t="shared" si="2"/>
        <v/>
      </c>
    </row>
    <row r="15" spans="1:13" x14ac:dyDescent="0.2">
      <c r="A15" s="19">
        <f>IF(DAY(DATE(2026,3+1,0))&gt;=12,DATE(2026,3,12),"")</f>
        <v>46093</v>
      </c>
      <c r="B15" s="16"/>
      <c r="C15" s="16"/>
      <c r="D15" s="16"/>
      <c r="E15" s="12" t="str">
        <f t="shared" si="0"/>
        <v/>
      </c>
      <c r="F15" s="11"/>
      <c r="G15" s="11"/>
      <c r="H15" s="11"/>
      <c r="I15" s="12" t="str">
        <f t="shared" si="1"/>
        <v/>
      </c>
      <c r="J15" s="11"/>
      <c r="K15" s="11"/>
      <c r="L15" s="11"/>
      <c r="M15" s="12" t="str">
        <f t="shared" si="2"/>
        <v/>
      </c>
    </row>
    <row r="16" spans="1:13" x14ac:dyDescent="0.2">
      <c r="A16" s="19">
        <f>IF(DAY(DATE(2026,3+1,0))&gt;=13,DATE(2026,3,13),"")</f>
        <v>46094</v>
      </c>
      <c r="B16" s="16"/>
      <c r="C16" s="16"/>
      <c r="D16" s="16"/>
      <c r="E16" s="12" t="str">
        <f t="shared" si="0"/>
        <v/>
      </c>
      <c r="F16" s="11"/>
      <c r="G16" s="11"/>
      <c r="H16" s="11"/>
      <c r="I16" s="12" t="str">
        <f t="shared" si="1"/>
        <v/>
      </c>
      <c r="J16" s="11"/>
      <c r="K16" s="11"/>
      <c r="L16" s="11"/>
      <c r="M16" s="12" t="str">
        <f t="shared" si="2"/>
        <v/>
      </c>
    </row>
    <row r="17" spans="1:13" x14ac:dyDescent="0.2">
      <c r="A17" s="19">
        <f>IF(DAY(DATE(2026,3+1,0))&gt;=14,DATE(2026,3,14),"")</f>
        <v>46095</v>
      </c>
      <c r="B17" s="16"/>
      <c r="C17" s="16"/>
      <c r="D17" s="16"/>
      <c r="E17" s="12" t="str">
        <f t="shared" si="0"/>
        <v/>
      </c>
      <c r="F17" s="11"/>
      <c r="G17" s="11"/>
      <c r="H17" s="11"/>
      <c r="I17" s="12" t="str">
        <f t="shared" si="1"/>
        <v/>
      </c>
      <c r="J17" s="11"/>
      <c r="K17" s="11"/>
      <c r="L17" s="11"/>
      <c r="M17" s="12" t="str">
        <f t="shared" si="2"/>
        <v/>
      </c>
    </row>
    <row r="18" spans="1:13" x14ac:dyDescent="0.2">
      <c r="A18" s="19">
        <f>IF(DAY(DATE(2026,3+1,0))&gt;=15,DATE(2026,3,15),"")</f>
        <v>46096</v>
      </c>
      <c r="B18" s="16"/>
      <c r="C18" s="16"/>
      <c r="D18" s="16"/>
      <c r="E18" s="12" t="str">
        <f t="shared" si="0"/>
        <v/>
      </c>
      <c r="F18" s="11"/>
      <c r="G18" s="11"/>
      <c r="H18" s="11"/>
      <c r="I18" s="12" t="str">
        <f t="shared" si="1"/>
        <v/>
      </c>
      <c r="J18" s="11"/>
      <c r="K18" s="11"/>
      <c r="L18" s="11"/>
      <c r="M18" s="12" t="str">
        <f t="shared" si="2"/>
        <v/>
      </c>
    </row>
    <row r="19" spans="1:13" x14ac:dyDescent="0.2">
      <c r="A19" s="19">
        <f>IF(DAY(DATE(2026,3+1,0))&gt;=16,DATE(2026,3,16),"")</f>
        <v>46097</v>
      </c>
      <c r="B19" s="16"/>
      <c r="C19" s="16"/>
      <c r="D19" s="16"/>
      <c r="E19" s="12" t="str">
        <f t="shared" si="0"/>
        <v/>
      </c>
      <c r="F19" s="11"/>
      <c r="G19" s="11"/>
      <c r="H19" s="11"/>
      <c r="I19" s="12" t="str">
        <f t="shared" si="1"/>
        <v/>
      </c>
      <c r="J19" s="11"/>
      <c r="K19" s="11"/>
      <c r="L19" s="11"/>
      <c r="M19" s="12" t="str">
        <f t="shared" si="2"/>
        <v/>
      </c>
    </row>
    <row r="20" spans="1:13" x14ac:dyDescent="0.2">
      <c r="A20" s="19">
        <f>IF(DAY(DATE(2026,3+1,0))&gt;=17,DATE(2026,3,17),"")</f>
        <v>46098</v>
      </c>
      <c r="B20" s="16"/>
      <c r="C20" s="16"/>
      <c r="D20" s="16"/>
      <c r="E20" s="12" t="str">
        <f t="shared" si="0"/>
        <v/>
      </c>
      <c r="F20" s="11"/>
      <c r="G20" s="11"/>
      <c r="H20" s="11"/>
      <c r="I20" s="12" t="str">
        <f t="shared" si="1"/>
        <v/>
      </c>
      <c r="J20" s="11"/>
      <c r="K20" s="11"/>
      <c r="L20" s="11"/>
      <c r="M20" s="12" t="str">
        <f t="shared" si="2"/>
        <v/>
      </c>
    </row>
    <row r="21" spans="1:13" x14ac:dyDescent="0.2">
      <c r="A21" s="19">
        <f>IF(DAY(DATE(2026,3+1,0))&gt;=18,DATE(2026,3,18),"")</f>
        <v>46099</v>
      </c>
      <c r="B21" s="16"/>
      <c r="C21" s="16"/>
      <c r="D21" s="16"/>
      <c r="E21" s="12" t="str">
        <f t="shared" si="0"/>
        <v/>
      </c>
      <c r="F21" s="11"/>
      <c r="G21" s="11"/>
      <c r="H21" s="11"/>
      <c r="I21" s="12" t="str">
        <f t="shared" si="1"/>
        <v/>
      </c>
      <c r="J21" s="11"/>
      <c r="K21" s="11"/>
      <c r="L21" s="11"/>
      <c r="M21" s="12" t="str">
        <f t="shared" si="2"/>
        <v/>
      </c>
    </row>
    <row r="22" spans="1:13" x14ac:dyDescent="0.2">
      <c r="A22" s="19">
        <f>IF(DAY(DATE(2026,3+1,0))&gt;=19,DATE(2026,3,19),"")</f>
        <v>46100</v>
      </c>
      <c r="B22" s="16"/>
      <c r="C22" s="16"/>
      <c r="D22" s="16"/>
      <c r="E22" s="12" t="str">
        <f t="shared" si="0"/>
        <v/>
      </c>
      <c r="F22" s="11"/>
      <c r="G22" s="11"/>
      <c r="H22" s="11"/>
      <c r="I22" s="12" t="str">
        <f t="shared" si="1"/>
        <v/>
      </c>
      <c r="J22" s="11"/>
      <c r="K22" s="11"/>
      <c r="L22" s="11"/>
      <c r="M22" s="12" t="str">
        <f t="shared" si="2"/>
        <v/>
      </c>
    </row>
    <row r="23" spans="1:13" x14ac:dyDescent="0.2">
      <c r="A23" s="19">
        <f>IF(DAY(DATE(2026,3+1,0))&gt;=20,DATE(2026,3,20),"")</f>
        <v>46101</v>
      </c>
      <c r="B23" s="16"/>
      <c r="C23" s="16"/>
      <c r="D23" s="16"/>
      <c r="E23" s="12" t="str">
        <f t="shared" si="0"/>
        <v/>
      </c>
      <c r="F23" s="11"/>
      <c r="G23" s="11"/>
      <c r="H23" s="11"/>
      <c r="I23" s="12" t="str">
        <f t="shared" si="1"/>
        <v/>
      </c>
      <c r="J23" s="11"/>
      <c r="K23" s="11"/>
      <c r="L23" s="11"/>
      <c r="M23" s="12" t="str">
        <f t="shared" si="2"/>
        <v/>
      </c>
    </row>
    <row r="24" spans="1:13" x14ac:dyDescent="0.2">
      <c r="A24" s="19">
        <f>IF(DAY(DATE(2026,3+1,0))&gt;=21,DATE(2026,3,21),"")</f>
        <v>46102</v>
      </c>
      <c r="B24" s="16"/>
      <c r="C24" s="16"/>
      <c r="D24" s="16"/>
      <c r="E24" s="12" t="str">
        <f t="shared" si="0"/>
        <v/>
      </c>
      <c r="F24" s="11"/>
      <c r="G24" s="11"/>
      <c r="H24" s="11"/>
      <c r="I24" s="12" t="str">
        <f t="shared" si="1"/>
        <v/>
      </c>
      <c r="J24" s="11"/>
      <c r="K24" s="11"/>
      <c r="L24" s="11"/>
      <c r="M24" s="12" t="str">
        <f t="shared" si="2"/>
        <v/>
      </c>
    </row>
    <row r="25" spans="1:13" x14ac:dyDescent="0.2">
      <c r="A25" s="19">
        <f>IF(DAY(DATE(2026,3+1,0))&gt;=22,DATE(2026,3,22),"")</f>
        <v>46103</v>
      </c>
      <c r="B25" s="16"/>
      <c r="C25" s="16"/>
      <c r="D25" s="16"/>
      <c r="E25" s="12" t="str">
        <f t="shared" si="0"/>
        <v/>
      </c>
      <c r="F25" s="11"/>
      <c r="G25" s="11"/>
      <c r="H25" s="11"/>
      <c r="I25" s="12" t="str">
        <f t="shared" si="1"/>
        <v/>
      </c>
      <c r="J25" s="11"/>
      <c r="K25" s="11"/>
      <c r="L25" s="11"/>
      <c r="M25" s="12" t="str">
        <f t="shared" si="2"/>
        <v/>
      </c>
    </row>
    <row r="26" spans="1:13" x14ac:dyDescent="0.2">
      <c r="A26" s="19">
        <f>IF(DAY(DATE(2026,3+1,0))&gt;=23,DATE(2026,3,23),"")</f>
        <v>46104</v>
      </c>
      <c r="B26" s="16"/>
      <c r="C26" s="16"/>
      <c r="D26" s="16"/>
      <c r="E26" s="12" t="str">
        <f t="shared" si="0"/>
        <v/>
      </c>
      <c r="F26" s="11"/>
      <c r="G26" s="11"/>
      <c r="H26" s="11"/>
      <c r="I26" s="12" t="str">
        <f t="shared" si="1"/>
        <v/>
      </c>
      <c r="J26" s="11"/>
      <c r="K26" s="11"/>
      <c r="L26" s="11"/>
      <c r="M26" s="12" t="str">
        <f t="shared" si="2"/>
        <v/>
      </c>
    </row>
    <row r="27" spans="1:13" x14ac:dyDescent="0.2">
      <c r="A27" s="19">
        <f>IF(DAY(DATE(2026,3+1,0))&gt;=24,DATE(2026,3,24),"")</f>
        <v>46105</v>
      </c>
      <c r="B27" s="16"/>
      <c r="C27" s="16"/>
      <c r="D27" s="16"/>
      <c r="E27" s="12" t="str">
        <f t="shared" si="0"/>
        <v/>
      </c>
      <c r="F27" s="11"/>
      <c r="G27" s="11"/>
      <c r="H27" s="11"/>
      <c r="I27" s="12" t="str">
        <f t="shared" si="1"/>
        <v/>
      </c>
      <c r="J27" s="11"/>
      <c r="K27" s="11"/>
      <c r="L27" s="11"/>
      <c r="M27" s="12" t="str">
        <f t="shared" si="2"/>
        <v/>
      </c>
    </row>
    <row r="28" spans="1:13" x14ac:dyDescent="0.2">
      <c r="A28" s="19">
        <f>IF(DAY(DATE(2026,3+1,0))&gt;=25,DATE(2026,3,25),"")</f>
        <v>46106</v>
      </c>
      <c r="B28" s="16"/>
      <c r="C28" s="16"/>
      <c r="D28" s="16"/>
      <c r="E28" s="12" t="str">
        <f t="shared" si="0"/>
        <v/>
      </c>
      <c r="F28" s="11"/>
      <c r="G28" s="11"/>
      <c r="H28" s="11"/>
      <c r="I28" s="12" t="str">
        <f t="shared" si="1"/>
        <v/>
      </c>
      <c r="J28" s="11"/>
      <c r="K28" s="11"/>
      <c r="L28" s="11"/>
      <c r="M28" s="12" t="str">
        <f t="shared" si="2"/>
        <v/>
      </c>
    </row>
    <row r="29" spans="1:13" x14ac:dyDescent="0.2">
      <c r="A29" s="19">
        <f>IF(DAY(DATE(2026,3+1,0))&gt;=26,DATE(2026,3,26),"")</f>
        <v>46107</v>
      </c>
      <c r="B29" s="16"/>
      <c r="C29" s="16"/>
      <c r="D29" s="16"/>
      <c r="E29" s="12" t="str">
        <f t="shared" si="0"/>
        <v/>
      </c>
      <c r="F29" s="11"/>
      <c r="G29" s="11"/>
      <c r="H29" s="11"/>
      <c r="I29" s="12" t="str">
        <f t="shared" si="1"/>
        <v/>
      </c>
      <c r="J29" s="11"/>
      <c r="K29" s="11"/>
      <c r="L29" s="11"/>
      <c r="M29" s="12" t="str">
        <f t="shared" si="2"/>
        <v/>
      </c>
    </row>
    <row r="30" spans="1:13" x14ac:dyDescent="0.2">
      <c r="A30" s="19">
        <f>IF(DAY(DATE(2026,3+1,0))&gt;=27,DATE(2026,3,27),"")</f>
        <v>46108</v>
      </c>
      <c r="B30" s="16"/>
      <c r="C30" s="16"/>
      <c r="D30" s="16"/>
      <c r="E30" s="12" t="str">
        <f t="shared" si="0"/>
        <v/>
      </c>
      <c r="F30" s="11"/>
      <c r="G30" s="11"/>
      <c r="H30" s="11"/>
      <c r="I30" s="12" t="str">
        <f t="shared" si="1"/>
        <v/>
      </c>
      <c r="J30" s="11"/>
      <c r="K30" s="11"/>
      <c r="L30" s="11"/>
      <c r="M30" s="12" t="str">
        <f t="shared" si="2"/>
        <v/>
      </c>
    </row>
    <row r="31" spans="1:13" x14ac:dyDescent="0.2">
      <c r="A31" s="19">
        <f>IF(DAY(DATE(2026,3+1,0))&gt;=28,DATE(2026,3,28),"")</f>
        <v>46109</v>
      </c>
      <c r="B31" s="16"/>
      <c r="C31" s="16"/>
      <c r="D31" s="16"/>
      <c r="E31" s="12" t="str">
        <f t="shared" si="0"/>
        <v/>
      </c>
      <c r="F31" s="11"/>
      <c r="G31" s="11"/>
      <c r="H31" s="11"/>
      <c r="I31" s="12" t="str">
        <f t="shared" si="1"/>
        <v/>
      </c>
      <c r="J31" s="11"/>
      <c r="K31" s="11"/>
      <c r="L31" s="11"/>
      <c r="M31" s="12" t="str">
        <f t="shared" si="2"/>
        <v/>
      </c>
    </row>
    <row r="32" spans="1:13" x14ac:dyDescent="0.2">
      <c r="A32" s="19">
        <f>IF(DAY(DATE(2026,3+1,0))&gt;=29,DATE(2026,3,29),"")</f>
        <v>46110</v>
      </c>
      <c r="B32" s="16"/>
      <c r="C32" s="16"/>
      <c r="D32" s="16"/>
      <c r="E32" s="12" t="str">
        <f t="shared" si="0"/>
        <v/>
      </c>
      <c r="F32" s="11"/>
      <c r="G32" s="11"/>
      <c r="H32" s="11"/>
      <c r="I32" s="12" t="str">
        <f t="shared" si="1"/>
        <v/>
      </c>
      <c r="J32" s="11"/>
      <c r="K32" s="11"/>
      <c r="L32" s="11"/>
      <c r="M32" s="12" t="str">
        <f t="shared" si="2"/>
        <v/>
      </c>
    </row>
    <row r="33" spans="1:13" x14ac:dyDescent="0.2">
      <c r="A33" s="19">
        <f>IF(DAY(DATE(2026,3+1,0))&gt;=30,DATE(2026,3,30),"")</f>
        <v>46111</v>
      </c>
      <c r="B33" s="16"/>
      <c r="C33" s="16"/>
      <c r="D33" s="16"/>
      <c r="E33" s="12" t="str">
        <f t="shared" si="0"/>
        <v/>
      </c>
      <c r="F33" s="11"/>
      <c r="G33" s="11"/>
      <c r="H33" s="11"/>
      <c r="I33" s="12" t="str">
        <f t="shared" si="1"/>
        <v/>
      </c>
      <c r="J33" s="11"/>
      <c r="K33" s="11"/>
      <c r="L33" s="11"/>
      <c r="M33" s="12" t="str">
        <f t="shared" si="2"/>
        <v/>
      </c>
    </row>
    <row r="34" spans="1:13" x14ac:dyDescent="0.2">
      <c r="A34" s="19">
        <f>IF(DAY(DATE(2026,3+1,0))&gt;=31,DATE(2026,3,31),"")</f>
        <v>46112</v>
      </c>
      <c r="B34" s="16"/>
      <c r="C34" s="16"/>
      <c r="D34" s="16"/>
      <c r="E34" s="12" t="str">
        <f t="shared" si="0"/>
        <v/>
      </c>
      <c r="F34" s="11"/>
      <c r="G34" s="11"/>
      <c r="H34" s="11"/>
      <c r="I34" s="12" t="str">
        <f t="shared" si="1"/>
        <v/>
      </c>
      <c r="J34" s="11"/>
      <c r="K34" s="11"/>
      <c r="L34" s="11"/>
      <c r="M34" s="12" t="str">
        <f t="shared" si="2"/>
        <v/>
      </c>
    </row>
  </sheetData>
  <sheetProtection password="CB1D" sheet="1"/>
  <conditionalFormatting sqref="B4:D34">
    <cfRule type="expression" dxfId="269" priority="23">
      <formula>$E4="Hypertonie Grad 3"</formula>
    </cfRule>
    <cfRule type="expression" dxfId="268" priority="22">
      <formula>$E4="Hypertonie Grad 2"</formula>
    </cfRule>
  </conditionalFormatting>
  <conditionalFormatting sqref="E4:E34">
    <cfRule type="expression" dxfId="267" priority="1">
      <formula>$E4="Zu niedrig"</formula>
    </cfRule>
    <cfRule type="expression" dxfId="266" priority="2">
      <formula>$E4="Optimal"</formula>
    </cfRule>
    <cfRule type="expression" dxfId="265" priority="3">
      <formula>$E4="Normal"</formula>
    </cfRule>
    <cfRule type="expression" dxfId="264" priority="4">
      <formula>$E4="Hoch-normal"</formula>
    </cfRule>
    <cfRule type="expression" dxfId="263" priority="5">
      <formula>$E4="Hypertonie Grad 1"</formula>
    </cfRule>
    <cfRule type="expression" dxfId="262" priority="6">
      <formula>$E4="Hypertonie Grad 2"</formula>
    </cfRule>
    <cfRule type="expression" dxfId="261" priority="7">
      <formula>$E4="Hypertonie Grad 3"</formula>
    </cfRule>
  </conditionalFormatting>
  <conditionalFormatting sqref="F4:H34">
    <cfRule type="expression" dxfId="260" priority="25">
      <formula>$I4="Hypertonie Grad 3"</formula>
    </cfRule>
    <cfRule type="expression" dxfId="259" priority="24">
      <formula>$I4="Hypertonie Grad 2"</formula>
    </cfRule>
  </conditionalFormatting>
  <conditionalFormatting sqref="I4:I34">
    <cfRule type="expression" dxfId="258" priority="14">
      <formula>$I4="Hypertonie Grad 3"</formula>
    </cfRule>
    <cfRule type="expression" dxfId="257" priority="13">
      <formula>$I4="Hypertonie Grad 2"</formula>
    </cfRule>
    <cfRule type="expression" dxfId="256" priority="12">
      <formula>$I4="Hypertonie Grad 1"</formula>
    </cfRule>
    <cfRule type="expression" dxfId="255" priority="11">
      <formula>$I4="Hoch-normal"</formula>
    </cfRule>
    <cfRule type="expression" dxfId="254" priority="10">
      <formula>$I4="Normal"</formula>
    </cfRule>
    <cfRule type="expression" dxfId="253" priority="9">
      <formula>$I4="Optimal"</formula>
    </cfRule>
    <cfRule type="expression" dxfId="252" priority="8">
      <formula>$I4="Zu niedrig"</formula>
    </cfRule>
  </conditionalFormatting>
  <conditionalFormatting sqref="J4:L34">
    <cfRule type="expression" dxfId="251" priority="26">
      <formula>$M4="Hypertonie Grad 2"</formula>
    </cfRule>
    <cfRule type="expression" dxfId="250" priority="27">
      <formula>$M4="Hypertonie Grad 3"</formula>
    </cfRule>
  </conditionalFormatting>
  <conditionalFormatting sqref="M4:M34">
    <cfRule type="expression" dxfId="249" priority="15">
      <formula>$M4="Zu niedrig"</formula>
    </cfRule>
    <cfRule type="expression" dxfId="248" priority="16">
      <formula>$M4="Optimal"</formula>
    </cfRule>
    <cfRule type="expression" dxfId="247" priority="17">
      <formula>$M4="Normal"</formula>
    </cfRule>
    <cfRule type="expression" dxfId="246" priority="18">
      <formula>$M4="Hoch-normal"</formula>
    </cfRule>
    <cfRule type="expression" dxfId="245" priority="19">
      <formula>$M4="Hypertonie Grad 1"</formula>
    </cfRule>
    <cfRule type="expression" dxfId="244" priority="20">
      <formula>$M4="Hypertonie Grad 2"</formula>
    </cfRule>
    <cfRule type="expression" dxfId="243" priority="21">
      <formula>$M4="Hypertonie Grad 3"</formula>
    </cfRule>
  </conditionalFormatting>
  <printOptions horizontalCentered="1"/>
  <pageMargins left="0.4" right="0.4" top="0.6" bottom="0.6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4"/>
  <sheetViews>
    <sheetView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2" customWidth="1"/>
    <col min="2" max="2" width="9" customWidth="1"/>
    <col min="3" max="3" width="10" customWidth="1"/>
    <col min="4" max="4" width="8" customWidth="1"/>
    <col min="5" max="5" width="15" customWidth="1"/>
    <col min="6" max="6" width="16" customWidth="1"/>
    <col min="7" max="7" width="10" customWidth="1"/>
    <col min="8" max="8" width="8" customWidth="1"/>
    <col min="9" max="9" width="15" customWidth="1"/>
    <col min="10" max="10" width="9" customWidth="1"/>
    <col min="11" max="11" width="10" customWidth="1"/>
    <col min="12" max="12" width="8" customWidth="1"/>
    <col min="13" max="13" width="15" customWidth="1"/>
  </cols>
  <sheetData>
    <row r="1" spans="1:13" x14ac:dyDescent="0.2">
      <c r="A1" s="10" t="s">
        <v>56</v>
      </c>
      <c r="B1" s="11">
        <v>2026</v>
      </c>
      <c r="D1" s="10" t="s">
        <v>31</v>
      </c>
      <c r="E1" s="11">
        <v>4</v>
      </c>
    </row>
    <row r="2" spans="1:13" x14ac:dyDescent="0.2">
      <c r="B2" s="13" t="str">
        <f>IF(Jahresübersicht!A6="","",Jahresübersicht!A6)</f>
        <v/>
      </c>
      <c r="D2" s="13" t="str">
        <f>IF(Jahresübersicht!C6="","",Jahresübersicht!C6)</f>
        <v/>
      </c>
      <c r="F2" s="14" t="str">
        <f>IF(Jahresübersicht!E6="","",Jahresübersicht!E6)</f>
        <v/>
      </c>
      <c r="H2" s="18"/>
      <c r="I2" s="15" t="s">
        <v>57</v>
      </c>
    </row>
    <row r="3" spans="1:13" ht="16" x14ac:dyDescent="0.2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7" t="s">
        <v>63</v>
      </c>
      <c r="G3" s="17" t="s">
        <v>64</v>
      </c>
      <c r="H3" s="17" t="s">
        <v>65</v>
      </c>
      <c r="I3" s="1" t="s">
        <v>66</v>
      </c>
      <c r="J3" s="17" t="s">
        <v>67</v>
      </c>
      <c r="K3" s="17" t="s">
        <v>68</v>
      </c>
      <c r="L3" s="17" t="s">
        <v>69</v>
      </c>
      <c r="M3" s="1" t="s">
        <v>70</v>
      </c>
    </row>
    <row r="4" spans="1:13" x14ac:dyDescent="0.2">
      <c r="A4" s="19">
        <f>IF(DAY(DATE(2026,4+1,0))&gt;=1,DATE(2026,4,1),"")</f>
        <v>46113</v>
      </c>
      <c r="B4" s="16"/>
      <c r="C4" s="16"/>
      <c r="D4" s="16"/>
      <c r="E4" s="12" t="str">
        <f t="shared" ref="E4:E34" si="0">IF(OR(B4="",C4=""),"",IF(OR(B4&lt;90,C4&lt;60),"Zu niedrig",IF(AND(B4&lt;120,C4&lt;80),"Optimal",IF(AND(B4&lt;130,C4&lt;85),"Normal",IF(AND(B4&lt;140,C4&lt;90),"Hoch-normal",IF(AND(B4&lt;160,C4&lt;100),"Hypertonie Grad 1",IF(AND(B4&lt;180,C4&lt;110),"Hypertonie Grad 2","Hypertonie Grad 3")))))))</f>
        <v/>
      </c>
      <c r="F4" s="11"/>
      <c r="G4" s="11"/>
      <c r="H4" s="11"/>
      <c r="I4" s="12" t="str">
        <f t="shared" ref="I4:I34" si="1">IF(OR(F4="",G4=""),"",IF(OR(F4&lt;90,G4&lt;60),"Zu niedrig",IF(AND(F4&lt;120,G4&lt;80),"Optimal",IF(AND(F4&lt;130,G4&lt;85),"Normal",IF(AND(F4&lt;140,G4&lt;90),"Hoch-normal",IF(AND(F4&lt;160,G4&lt;100),"Hypertonie Grad 1",IF(AND(F4&lt;180,G4&lt;110),"Hypertonie Grad 2","Hypertonie Grad 3")))))))</f>
        <v/>
      </c>
      <c r="J4" s="11"/>
      <c r="K4" s="11"/>
      <c r="L4" s="11"/>
      <c r="M4" s="12" t="str">
        <f t="shared" ref="M4:M34" si="2">IF(OR(J4="",K4=""),"",IF(OR(J4&lt;90,K4&lt;60),"Zu niedrig",IF(AND(J4&lt;120,K4&lt;80),"Optimal",IF(AND(J4&lt;130,K4&lt;85),"Normal",IF(AND(J4&lt;140,K4&lt;90),"Hoch-normal",IF(AND(J4&lt;160,K4&lt;100),"Hypertonie Grad 1",IF(AND(J4&lt;180,K4&lt;110),"Hypertonie Grad 2","Hypertonie Grad 3")))))))</f>
        <v/>
      </c>
    </row>
    <row r="5" spans="1:13" x14ac:dyDescent="0.2">
      <c r="A5" s="19">
        <f>IF(DAY(DATE(2026,4+1,0))&gt;=2,DATE(2026,4,2),"")</f>
        <v>46114</v>
      </c>
      <c r="B5" s="16"/>
      <c r="C5" s="16"/>
      <c r="D5" s="16"/>
      <c r="E5" s="12" t="str">
        <f t="shared" si="0"/>
        <v/>
      </c>
      <c r="F5" s="11"/>
      <c r="G5" s="11"/>
      <c r="H5" s="11"/>
      <c r="I5" s="12" t="str">
        <f t="shared" si="1"/>
        <v/>
      </c>
      <c r="J5" s="11"/>
      <c r="K5" s="11"/>
      <c r="L5" s="11"/>
      <c r="M5" s="12" t="str">
        <f t="shared" si="2"/>
        <v/>
      </c>
    </row>
    <row r="6" spans="1:13" x14ac:dyDescent="0.2">
      <c r="A6" s="19">
        <f>IF(DAY(DATE(2026,4+1,0))&gt;=3,DATE(2026,4,3),"")</f>
        <v>46115</v>
      </c>
      <c r="B6" s="16"/>
      <c r="C6" s="16"/>
      <c r="D6" s="16"/>
      <c r="E6" s="12" t="str">
        <f t="shared" si="0"/>
        <v/>
      </c>
      <c r="F6" s="11"/>
      <c r="G6" s="11"/>
      <c r="H6" s="11"/>
      <c r="I6" s="12" t="str">
        <f t="shared" si="1"/>
        <v/>
      </c>
      <c r="J6" s="11"/>
      <c r="K6" s="11"/>
      <c r="L6" s="11"/>
      <c r="M6" s="12" t="str">
        <f t="shared" si="2"/>
        <v/>
      </c>
    </row>
    <row r="7" spans="1:13" x14ac:dyDescent="0.2">
      <c r="A7" s="19">
        <f>IF(DAY(DATE(2026,4+1,0))&gt;=4,DATE(2026,4,4),"")</f>
        <v>46116</v>
      </c>
      <c r="B7" s="16"/>
      <c r="C7" s="16"/>
      <c r="D7" s="16"/>
      <c r="E7" s="12" t="str">
        <f t="shared" si="0"/>
        <v/>
      </c>
      <c r="F7" s="11"/>
      <c r="G7" s="11"/>
      <c r="H7" s="11"/>
      <c r="I7" s="12" t="str">
        <f t="shared" si="1"/>
        <v/>
      </c>
      <c r="J7" s="11"/>
      <c r="K7" s="11"/>
      <c r="L7" s="11"/>
      <c r="M7" s="12" t="str">
        <f t="shared" si="2"/>
        <v/>
      </c>
    </row>
    <row r="8" spans="1:13" x14ac:dyDescent="0.2">
      <c r="A8" s="19">
        <f>IF(DAY(DATE(2026,4+1,0))&gt;=5,DATE(2026,4,5),"")</f>
        <v>46117</v>
      </c>
      <c r="B8" s="16"/>
      <c r="C8" s="16"/>
      <c r="D8" s="16"/>
      <c r="E8" s="12" t="str">
        <f t="shared" si="0"/>
        <v/>
      </c>
      <c r="F8" s="11"/>
      <c r="G8" s="11"/>
      <c r="H8" s="11"/>
      <c r="I8" s="12" t="str">
        <f t="shared" si="1"/>
        <v/>
      </c>
      <c r="J8" s="11"/>
      <c r="K8" s="11"/>
      <c r="L8" s="11"/>
      <c r="M8" s="12" t="str">
        <f t="shared" si="2"/>
        <v/>
      </c>
    </row>
    <row r="9" spans="1:13" x14ac:dyDescent="0.2">
      <c r="A9" s="19">
        <f>IF(DAY(DATE(2026,4+1,0))&gt;=6,DATE(2026,4,6),"")</f>
        <v>46118</v>
      </c>
      <c r="B9" s="16"/>
      <c r="C9" s="16"/>
      <c r="D9" s="16"/>
      <c r="E9" s="12" t="str">
        <f t="shared" si="0"/>
        <v/>
      </c>
      <c r="F9" s="11"/>
      <c r="G9" s="11"/>
      <c r="H9" s="11"/>
      <c r="I9" s="12" t="str">
        <f t="shared" si="1"/>
        <v/>
      </c>
      <c r="J9" s="11"/>
      <c r="K9" s="11"/>
      <c r="L9" s="11"/>
      <c r="M9" s="12" t="str">
        <f t="shared" si="2"/>
        <v/>
      </c>
    </row>
    <row r="10" spans="1:13" x14ac:dyDescent="0.2">
      <c r="A10" s="19">
        <f>IF(DAY(DATE(2026,4+1,0))&gt;=7,DATE(2026,4,7),"")</f>
        <v>46119</v>
      </c>
      <c r="B10" s="16"/>
      <c r="C10" s="16"/>
      <c r="D10" s="16"/>
      <c r="E10" s="12" t="str">
        <f t="shared" si="0"/>
        <v/>
      </c>
      <c r="F10" s="11"/>
      <c r="G10" s="11"/>
      <c r="H10" s="11"/>
      <c r="I10" s="12" t="str">
        <f t="shared" si="1"/>
        <v/>
      </c>
      <c r="J10" s="11"/>
      <c r="K10" s="11"/>
      <c r="L10" s="11"/>
      <c r="M10" s="12" t="str">
        <f t="shared" si="2"/>
        <v/>
      </c>
    </row>
    <row r="11" spans="1:13" x14ac:dyDescent="0.2">
      <c r="A11" s="19">
        <f>IF(DAY(DATE(2026,4+1,0))&gt;=8,DATE(2026,4,8),"")</f>
        <v>46120</v>
      </c>
      <c r="B11" s="16"/>
      <c r="C11" s="16"/>
      <c r="D11" s="16"/>
      <c r="E11" s="12" t="str">
        <f t="shared" si="0"/>
        <v/>
      </c>
      <c r="F11" s="11"/>
      <c r="G11" s="11"/>
      <c r="H11" s="11"/>
      <c r="I11" s="12" t="str">
        <f t="shared" si="1"/>
        <v/>
      </c>
      <c r="J11" s="11"/>
      <c r="K11" s="11"/>
      <c r="L11" s="11"/>
      <c r="M11" s="12" t="str">
        <f t="shared" si="2"/>
        <v/>
      </c>
    </row>
    <row r="12" spans="1:13" x14ac:dyDescent="0.2">
      <c r="A12" s="19">
        <f>IF(DAY(DATE(2026,4+1,0))&gt;=9,DATE(2026,4,9),"")</f>
        <v>46121</v>
      </c>
      <c r="B12" s="16"/>
      <c r="C12" s="16"/>
      <c r="D12" s="16"/>
      <c r="E12" s="12" t="str">
        <f t="shared" si="0"/>
        <v/>
      </c>
      <c r="F12" s="11"/>
      <c r="G12" s="11"/>
      <c r="H12" s="11"/>
      <c r="I12" s="12" t="str">
        <f t="shared" si="1"/>
        <v/>
      </c>
      <c r="J12" s="11"/>
      <c r="K12" s="11"/>
      <c r="L12" s="11"/>
      <c r="M12" s="12" t="str">
        <f t="shared" si="2"/>
        <v/>
      </c>
    </row>
    <row r="13" spans="1:13" x14ac:dyDescent="0.2">
      <c r="A13" s="19">
        <f>IF(DAY(DATE(2026,4+1,0))&gt;=10,DATE(2026,4,10),"")</f>
        <v>46122</v>
      </c>
      <c r="B13" s="16"/>
      <c r="C13" s="16"/>
      <c r="D13" s="16"/>
      <c r="E13" s="12" t="str">
        <f t="shared" si="0"/>
        <v/>
      </c>
      <c r="F13" s="11"/>
      <c r="G13" s="11"/>
      <c r="H13" s="11"/>
      <c r="I13" s="12" t="str">
        <f t="shared" si="1"/>
        <v/>
      </c>
      <c r="J13" s="11"/>
      <c r="K13" s="11"/>
      <c r="L13" s="11"/>
      <c r="M13" s="12" t="str">
        <f t="shared" si="2"/>
        <v/>
      </c>
    </row>
    <row r="14" spans="1:13" x14ac:dyDescent="0.2">
      <c r="A14" s="19">
        <f>IF(DAY(DATE(2026,4+1,0))&gt;=11,DATE(2026,4,11),"")</f>
        <v>46123</v>
      </c>
      <c r="B14" s="16"/>
      <c r="C14" s="16"/>
      <c r="D14" s="16"/>
      <c r="E14" s="12" t="str">
        <f t="shared" si="0"/>
        <v/>
      </c>
      <c r="F14" s="11"/>
      <c r="G14" s="11"/>
      <c r="H14" s="11"/>
      <c r="I14" s="12" t="str">
        <f t="shared" si="1"/>
        <v/>
      </c>
      <c r="J14" s="11"/>
      <c r="K14" s="11"/>
      <c r="L14" s="11"/>
      <c r="M14" s="12" t="str">
        <f t="shared" si="2"/>
        <v/>
      </c>
    </row>
    <row r="15" spans="1:13" x14ac:dyDescent="0.2">
      <c r="A15" s="19">
        <f>IF(DAY(DATE(2026,4+1,0))&gt;=12,DATE(2026,4,12),"")</f>
        <v>46124</v>
      </c>
      <c r="B15" s="16"/>
      <c r="C15" s="16"/>
      <c r="D15" s="16"/>
      <c r="E15" s="12" t="str">
        <f t="shared" si="0"/>
        <v/>
      </c>
      <c r="F15" s="11"/>
      <c r="G15" s="11"/>
      <c r="H15" s="11"/>
      <c r="I15" s="12" t="str">
        <f t="shared" si="1"/>
        <v/>
      </c>
      <c r="J15" s="11"/>
      <c r="K15" s="11"/>
      <c r="L15" s="11"/>
      <c r="M15" s="12" t="str">
        <f t="shared" si="2"/>
        <v/>
      </c>
    </row>
    <row r="16" spans="1:13" x14ac:dyDescent="0.2">
      <c r="A16" s="19">
        <f>IF(DAY(DATE(2026,4+1,0))&gt;=13,DATE(2026,4,13),"")</f>
        <v>46125</v>
      </c>
      <c r="B16" s="16"/>
      <c r="C16" s="16"/>
      <c r="D16" s="16"/>
      <c r="E16" s="12" t="str">
        <f t="shared" si="0"/>
        <v/>
      </c>
      <c r="F16" s="11"/>
      <c r="G16" s="11"/>
      <c r="H16" s="11"/>
      <c r="I16" s="12" t="str">
        <f t="shared" si="1"/>
        <v/>
      </c>
      <c r="J16" s="11"/>
      <c r="K16" s="11"/>
      <c r="L16" s="11"/>
      <c r="M16" s="12" t="str">
        <f t="shared" si="2"/>
        <v/>
      </c>
    </row>
    <row r="17" spans="1:13" x14ac:dyDescent="0.2">
      <c r="A17" s="19">
        <f>IF(DAY(DATE(2026,4+1,0))&gt;=14,DATE(2026,4,14),"")</f>
        <v>46126</v>
      </c>
      <c r="B17" s="16"/>
      <c r="C17" s="16"/>
      <c r="D17" s="16"/>
      <c r="E17" s="12" t="str">
        <f t="shared" si="0"/>
        <v/>
      </c>
      <c r="F17" s="11"/>
      <c r="G17" s="11"/>
      <c r="H17" s="11"/>
      <c r="I17" s="12" t="str">
        <f t="shared" si="1"/>
        <v/>
      </c>
      <c r="J17" s="11"/>
      <c r="K17" s="11"/>
      <c r="L17" s="11"/>
      <c r="M17" s="12" t="str">
        <f t="shared" si="2"/>
        <v/>
      </c>
    </row>
    <row r="18" spans="1:13" x14ac:dyDescent="0.2">
      <c r="A18" s="19">
        <f>IF(DAY(DATE(2026,4+1,0))&gt;=15,DATE(2026,4,15),"")</f>
        <v>46127</v>
      </c>
      <c r="B18" s="16"/>
      <c r="C18" s="16"/>
      <c r="D18" s="16"/>
      <c r="E18" s="12" t="str">
        <f t="shared" si="0"/>
        <v/>
      </c>
      <c r="F18" s="11"/>
      <c r="G18" s="11"/>
      <c r="H18" s="11"/>
      <c r="I18" s="12" t="str">
        <f t="shared" si="1"/>
        <v/>
      </c>
      <c r="J18" s="11"/>
      <c r="K18" s="11"/>
      <c r="L18" s="11"/>
      <c r="M18" s="12" t="str">
        <f t="shared" si="2"/>
        <v/>
      </c>
    </row>
    <row r="19" spans="1:13" x14ac:dyDescent="0.2">
      <c r="A19" s="19">
        <f>IF(DAY(DATE(2026,4+1,0))&gt;=16,DATE(2026,4,16),"")</f>
        <v>46128</v>
      </c>
      <c r="B19" s="16"/>
      <c r="C19" s="16"/>
      <c r="D19" s="16"/>
      <c r="E19" s="12" t="str">
        <f t="shared" si="0"/>
        <v/>
      </c>
      <c r="F19" s="11"/>
      <c r="G19" s="11"/>
      <c r="H19" s="11"/>
      <c r="I19" s="12" t="str">
        <f t="shared" si="1"/>
        <v/>
      </c>
      <c r="J19" s="11"/>
      <c r="K19" s="11"/>
      <c r="L19" s="11"/>
      <c r="M19" s="12" t="str">
        <f t="shared" si="2"/>
        <v/>
      </c>
    </row>
    <row r="20" spans="1:13" x14ac:dyDescent="0.2">
      <c r="A20" s="19">
        <f>IF(DAY(DATE(2026,4+1,0))&gt;=17,DATE(2026,4,17),"")</f>
        <v>46129</v>
      </c>
      <c r="B20" s="16"/>
      <c r="C20" s="16"/>
      <c r="D20" s="16"/>
      <c r="E20" s="12" t="str">
        <f t="shared" si="0"/>
        <v/>
      </c>
      <c r="F20" s="11"/>
      <c r="G20" s="11"/>
      <c r="H20" s="11"/>
      <c r="I20" s="12" t="str">
        <f t="shared" si="1"/>
        <v/>
      </c>
      <c r="J20" s="11"/>
      <c r="K20" s="11"/>
      <c r="L20" s="11"/>
      <c r="M20" s="12" t="str">
        <f t="shared" si="2"/>
        <v/>
      </c>
    </row>
    <row r="21" spans="1:13" x14ac:dyDescent="0.2">
      <c r="A21" s="19">
        <f>IF(DAY(DATE(2026,4+1,0))&gt;=18,DATE(2026,4,18),"")</f>
        <v>46130</v>
      </c>
      <c r="B21" s="16"/>
      <c r="C21" s="16"/>
      <c r="D21" s="16"/>
      <c r="E21" s="12" t="str">
        <f t="shared" si="0"/>
        <v/>
      </c>
      <c r="F21" s="11"/>
      <c r="G21" s="11"/>
      <c r="H21" s="11"/>
      <c r="I21" s="12" t="str">
        <f t="shared" si="1"/>
        <v/>
      </c>
      <c r="J21" s="11"/>
      <c r="K21" s="11"/>
      <c r="L21" s="11"/>
      <c r="M21" s="12" t="str">
        <f t="shared" si="2"/>
        <v/>
      </c>
    </row>
    <row r="22" spans="1:13" x14ac:dyDescent="0.2">
      <c r="A22" s="19">
        <f>IF(DAY(DATE(2026,4+1,0))&gt;=19,DATE(2026,4,19),"")</f>
        <v>46131</v>
      </c>
      <c r="B22" s="16"/>
      <c r="C22" s="16"/>
      <c r="D22" s="16"/>
      <c r="E22" s="12" t="str">
        <f t="shared" si="0"/>
        <v/>
      </c>
      <c r="F22" s="11"/>
      <c r="G22" s="11"/>
      <c r="H22" s="11"/>
      <c r="I22" s="12" t="str">
        <f t="shared" si="1"/>
        <v/>
      </c>
      <c r="J22" s="11"/>
      <c r="K22" s="11"/>
      <c r="L22" s="11"/>
      <c r="M22" s="12" t="str">
        <f t="shared" si="2"/>
        <v/>
      </c>
    </row>
    <row r="23" spans="1:13" x14ac:dyDescent="0.2">
      <c r="A23" s="19">
        <f>IF(DAY(DATE(2026,4+1,0))&gt;=20,DATE(2026,4,20),"")</f>
        <v>46132</v>
      </c>
      <c r="B23" s="16"/>
      <c r="C23" s="16"/>
      <c r="D23" s="16"/>
      <c r="E23" s="12" t="str">
        <f t="shared" si="0"/>
        <v/>
      </c>
      <c r="F23" s="11"/>
      <c r="G23" s="11"/>
      <c r="H23" s="11"/>
      <c r="I23" s="12" t="str">
        <f t="shared" si="1"/>
        <v/>
      </c>
      <c r="J23" s="11"/>
      <c r="K23" s="11"/>
      <c r="L23" s="11"/>
      <c r="M23" s="12" t="str">
        <f t="shared" si="2"/>
        <v/>
      </c>
    </row>
    <row r="24" spans="1:13" x14ac:dyDescent="0.2">
      <c r="A24" s="19">
        <f>IF(DAY(DATE(2026,4+1,0))&gt;=21,DATE(2026,4,21),"")</f>
        <v>46133</v>
      </c>
      <c r="B24" s="16"/>
      <c r="C24" s="16"/>
      <c r="D24" s="16"/>
      <c r="E24" s="12" t="str">
        <f t="shared" si="0"/>
        <v/>
      </c>
      <c r="F24" s="11"/>
      <c r="G24" s="11"/>
      <c r="H24" s="11"/>
      <c r="I24" s="12" t="str">
        <f t="shared" si="1"/>
        <v/>
      </c>
      <c r="J24" s="11"/>
      <c r="K24" s="11"/>
      <c r="L24" s="11"/>
      <c r="M24" s="12" t="str">
        <f t="shared" si="2"/>
        <v/>
      </c>
    </row>
    <row r="25" spans="1:13" x14ac:dyDescent="0.2">
      <c r="A25" s="19">
        <f>IF(DAY(DATE(2026,4+1,0))&gt;=22,DATE(2026,4,22),"")</f>
        <v>46134</v>
      </c>
      <c r="B25" s="16"/>
      <c r="C25" s="16"/>
      <c r="D25" s="16"/>
      <c r="E25" s="12" t="str">
        <f t="shared" si="0"/>
        <v/>
      </c>
      <c r="F25" s="11"/>
      <c r="G25" s="11"/>
      <c r="H25" s="11"/>
      <c r="I25" s="12" t="str">
        <f t="shared" si="1"/>
        <v/>
      </c>
      <c r="J25" s="11"/>
      <c r="K25" s="11"/>
      <c r="L25" s="11"/>
      <c r="M25" s="12" t="str">
        <f t="shared" si="2"/>
        <v/>
      </c>
    </row>
    <row r="26" spans="1:13" x14ac:dyDescent="0.2">
      <c r="A26" s="19">
        <f>IF(DAY(DATE(2026,4+1,0))&gt;=23,DATE(2026,4,23),"")</f>
        <v>46135</v>
      </c>
      <c r="B26" s="16"/>
      <c r="C26" s="16"/>
      <c r="D26" s="16"/>
      <c r="E26" s="12" t="str">
        <f t="shared" si="0"/>
        <v/>
      </c>
      <c r="F26" s="11"/>
      <c r="G26" s="11"/>
      <c r="H26" s="11"/>
      <c r="I26" s="12" t="str">
        <f t="shared" si="1"/>
        <v/>
      </c>
      <c r="J26" s="11"/>
      <c r="K26" s="11"/>
      <c r="L26" s="11"/>
      <c r="M26" s="12" t="str">
        <f t="shared" si="2"/>
        <v/>
      </c>
    </row>
    <row r="27" spans="1:13" x14ac:dyDescent="0.2">
      <c r="A27" s="19">
        <f>IF(DAY(DATE(2026,4+1,0))&gt;=24,DATE(2026,4,24),"")</f>
        <v>46136</v>
      </c>
      <c r="B27" s="16"/>
      <c r="C27" s="16"/>
      <c r="D27" s="16"/>
      <c r="E27" s="12" t="str">
        <f t="shared" si="0"/>
        <v/>
      </c>
      <c r="F27" s="11"/>
      <c r="G27" s="11"/>
      <c r="H27" s="11"/>
      <c r="I27" s="12" t="str">
        <f t="shared" si="1"/>
        <v/>
      </c>
      <c r="J27" s="11"/>
      <c r="K27" s="11"/>
      <c r="L27" s="11"/>
      <c r="M27" s="12" t="str">
        <f t="shared" si="2"/>
        <v/>
      </c>
    </row>
    <row r="28" spans="1:13" x14ac:dyDescent="0.2">
      <c r="A28" s="19">
        <f>IF(DAY(DATE(2026,4+1,0))&gt;=25,DATE(2026,4,25),"")</f>
        <v>46137</v>
      </c>
      <c r="B28" s="16"/>
      <c r="C28" s="16"/>
      <c r="D28" s="16"/>
      <c r="E28" s="12" t="str">
        <f t="shared" si="0"/>
        <v/>
      </c>
      <c r="F28" s="11"/>
      <c r="G28" s="11"/>
      <c r="H28" s="11"/>
      <c r="I28" s="12" t="str">
        <f t="shared" si="1"/>
        <v/>
      </c>
      <c r="J28" s="11"/>
      <c r="K28" s="11"/>
      <c r="L28" s="11"/>
      <c r="M28" s="12" t="str">
        <f t="shared" si="2"/>
        <v/>
      </c>
    </row>
    <row r="29" spans="1:13" x14ac:dyDescent="0.2">
      <c r="A29" s="19">
        <f>IF(DAY(DATE(2026,4+1,0))&gt;=26,DATE(2026,4,26),"")</f>
        <v>46138</v>
      </c>
      <c r="B29" s="16"/>
      <c r="C29" s="16"/>
      <c r="D29" s="16"/>
      <c r="E29" s="12" t="str">
        <f t="shared" si="0"/>
        <v/>
      </c>
      <c r="F29" s="11"/>
      <c r="G29" s="11"/>
      <c r="H29" s="11"/>
      <c r="I29" s="12" t="str">
        <f t="shared" si="1"/>
        <v/>
      </c>
      <c r="J29" s="11"/>
      <c r="K29" s="11"/>
      <c r="L29" s="11"/>
      <c r="M29" s="12" t="str">
        <f t="shared" si="2"/>
        <v/>
      </c>
    </row>
    <row r="30" spans="1:13" x14ac:dyDescent="0.2">
      <c r="A30" s="19">
        <f>IF(DAY(DATE(2026,4+1,0))&gt;=27,DATE(2026,4,27),"")</f>
        <v>46139</v>
      </c>
      <c r="B30" s="16"/>
      <c r="C30" s="16"/>
      <c r="D30" s="16"/>
      <c r="E30" s="12" t="str">
        <f t="shared" si="0"/>
        <v/>
      </c>
      <c r="F30" s="11"/>
      <c r="G30" s="11"/>
      <c r="H30" s="11"/>
      <c r="I30" s="12" t="str">
        <f t="shared" si="1"/>
        <v/>
      </c>
      <c r="J30" s="11"/>
      <c r="K30" s="11"/>
      <c r="L30" s="11"/>
      <c r="M30" s="12" t="str">
        <f t="shared" si="2"/>
        <v/>
      </c>
    </row>
    <row r="31" spans="1:13" x14ac:dyDescent="0.2">
      <c r="A31" s="19">
        <f>IF(DAY(DATE(2026,4+1,0))&gt;=28,DATE(2026,4,28),"")</f>
        <v>46140</v>
      </c>
      <c r="B31" s="16"/>
      <c r="C31" s="16"/>
      <c r="D31" s="16"/>
      <c r="E31" s="12" t="str">
        <f t="shared" si="0"/>
        <v/>
      </c>
      <c r="F31" s="11"/>
      <c r="G31" s="11"/>
      <c r="H31" s="11"/>
      <c r="I31" s="12" t="str">
        <f t="shared" si="1"/>
        <v/>
      </c>
      <c r="J31" s="11"/>
      <c r="K31" s="11"/>
      <c r="L31" s="11"/>
      <c r="M31" s="12" t="str">
        <f t="shared" si="2"/>
        <v/>
      </c>
    </row>
    <row r="32" spans="1:13" x14ac:dyDescent="0.2">
      <c r="A32" s="19">
        <f>IF(DAY(DATE(2026,4+1,0))&gt;=29,DATE(2026,4,29),"")</f>
        <v>46141</v>
      </c>
      <c r="B32" s="16"/>
      <c r="C32" s="16"/>
      <c r="D32" s="16"/>
      <c r="E32" s="12" t="str">
        <f t="shared" si="0"/>
        <v/>
      </c>
      <c r="F32" s="11"/>
      <c r="G32" s="11"/>
      <c r="H32" s="11"/>
      <c r="I32" s="12" t="str">
        <f t="shared" si="1"/>
        <v/>
      </c>
      <c r="J32" s="11"/>
      <c r="K32" s="11"/>
      <c r="L32" s="11"/>
      <c r="M32" s="12" t="str">
        <f t="shared" si="2"/>
        <v/>
      </c>
    </row>
    <row r="33" spans="1:13" x14ac:dyDescent="0.2">
      <c r="A33" s="19">
        <f>IF(DAY(DATE(2026,4+1,0))&gt;=30,DATE(2026,4,30),"")</f>
        <v>46142</v>
      </c>
      <c r="B33" s="16"/>
      <c r="C33" s="16"/>
      <c r="D33" s="16"/>
      <c r="E33" s="12" t="str">
        <f t="shared" si="0"/>
        <v/>
      </c>
      <c r="F33" s="11"/>
      <c r="G33" s="11"/>
      <c r="H33" s="11"/>
      <c r="I33" s="12" t="str">
        <f t="shared" si="1"/>
        <v/>
      </c>
      <c r="J33" s="11"/>
      <c r="K33" s="11"/>
      <c r="L33" s="11"/>
      <c r="M33" s="12" t="str">
        <f t="shared" si="2"/>
        <v/>
      </c>
    </row>
    <row r="34" spans="1:13" x14ac:dyDescent="0.2">
      <c r="A34" s="19" t="str">
        <f>IF(DAY(DATE(2026,4+1,0))&gt;=31,DATE(2026,4,31),"")</f>
        <v/>
      </c>
      <c r="B34" s="16"/>
      <c r="C34" s="16"/>
      <c r="D34" s="16"/>
      <c r="E34" s="12" t="str">
        <f t="shared" si="0"/>
        <v/>
      </c>
      <c r="F34" s="11"/>
      <c r="G34" s="11"/>
      <c r="H34" s="11"/>
      <c r="I34" s="12" t="str">
        <f t="shared" si="1"/>
        <v/>
      </c>
      <c r="J34" s="11"/>
      <c r="K34" s="11"/>
      <c r="L34" s="11"/>
      <c r="M34" s="12" t="str">
        <f t="shared" si="2"/>
        <v/>
      </c>
    </row>
  </sheetData>
  <sheetProtection password="CB1D" sheet="1"/>
  <conditionalFormatting sqref="B4:D34">
    <cfRule type="expression" dxfId="242" priority="23">
      <formula>$E4="Hypertonie Grad 3"</formula>
    </cfRule>
    <cfRule type="expression" dxfId="241" priority="22">
      <formula>$E4="Hypertonie Grad 2"</formula>
    </cfRule>
  </conditionalFormatting>
  <conditionalFormatting sqref="E4:E34">
    <cfRule type="expression" dxfId="240" priority="1">
      <formula>$E4="Zu niedrig"</formula>
    </cfRule>
    <cfRule type="expression" dxfId="239" priority="2">
      <formula>$E4="Optimal"</formula>
    </cfRule>
    <cfRule type="expression" dxfId="238" priority="3">
      <formula>$E4="Normal"</formula>
    </cfRule>
    <cfRule type="expression" dxfId="237" priority="4">
      <formula>$E4="Hoch-normal"</formula>
    </cfRule>
    <cfRule type="expression" dxfId="236" priority="5">
      <formula>$E4="Hypertonie Grad 1"</formula>
    </cfRule>
    <cfRule type="expression" dxfId="235" priority="6">
      <formula>$E4="Hypertonie Grad 2"</formula>
    </cfRule>
    <cfRule type="expression" dxfId="234" priority="7">
      <formula>$E4="Hypertonie Grad 3"</formula>
    </cfRule>
  </conditionalFormatting>
  <conditionalFormatting sqref="F4:H34">
    <cfRule type="expression" dxfId="233" priority="25">
      <formula>$I4="Hypertonie Grad 3"</formula>
    </cfRule>
    <cfRule type="expression" dxfId="232" priority="24">
      <formula>$I4="Hypertonie Grad 2"</formula>
    </cfRule>
  </conditionalFormatting>
  <conditionalFormatting sqref="I4:I34">
    <cfRule type="expression" dxfId="231" priority="14">
      <formula>$I4="Hypertonie Grad 3"</formula>
    </cfRule>
    <cfRule type="expression" dxfId="230" priority="13">
      <formula>$I4="Hypertonie Grad 2"</formula>
    </cfRule>
    <cfRule type="expression" dxfId="229" priority="12">
      <formula>$I4="Hypertonie Grad 1"</formula>
    </cfRule>
    <cfRule type="expression" dxfId="228" priority="11">
      <formula>$I4="Hoch-normal"</formula>
    </cfRule>
    <cfRule type="expression" dxfId="227" priority="10">
      <formula>$I4="Normal"</formula>
    </cfRule>
    <cfRule type="expression" dxfId="226" priority="9">
      <formula>$I4="Optimal"</formula>
    </cfRule>
    <cfRule type="expression" dxfId="225" priority="8">
      <formula>$I4="Zu niedrig"</formula>
    </cfRule>
  </conditionalFormatting>
  <conditionalFormatting sqref="J4:L34">
    <cfRule type="expression" dxfId="224" priority="26">
      <formula>$M4="Hypertonie Grad 2"</formula>
    </cfRule>
    <cfRule type="expression" dxfId="223" priority="27">
      <formula>$M4="Hypertonie Grad 3"</formula>
    </cfRule>
  </conditionalFormatting>
  <conditionalFormatting sqref="M4:M34">
    <cfRule type="expression" dxfId="222" priority="15">
      <formula>$M4="Zu niedrig"</formula>
    </cfRule>
    <cfRule type="expression" dxfId="221" priority="16">
      <formula>$M4="Optimal"</formula>
    </cfRule>
    <cfRule type="expression" dxfId="220" priority="17">
      <formula>$M4="Normal"</formula>
    </cfRule>
    <cfRule type="expression" dxfId="219" priority="18">
      <formula>$M4="Hoch-normal"</formula>
    </cfRule>
    <cfRule type="expression" dxfId="218" priority="19">
      <formula>$M4="Hypertonie Grad 1"</formula>
    </cfRule>
    <cfRule type="expression" dxfId="217" priority="20">
      <formula>$M4="Hypertonie Grad 2"</formula>
    </cfRule>
    <cfRule type="expression" dxfId="216" priority="21">
      <formula>$M4="Hypertonie Grad 3"</formula>
    </cfRule>
  </conditionalFormatting>
  <printOptions horizontalCentered="1"/>
  <pageMargins left="0.4" right="0.4" top="0.6" bottom="0.6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4"/>
  <sheetViews>
    <sheetView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2" customWidth="1"/>
    <col min="2" max="2" width="9" customWidth="1"/>
    <col min="3" max="3" width="10" customWidth="1"/>
    <col min="4" max="4" width="8" customWidth="1"/>
    <col min="5" max="5" width="15" customWidth="1"/>
    <col min="6" max="6" width="16" customWidth="1"/>
    <col min="7" max="7" width="10" customWidth="1"/>
    <col min="8" max="8" width="8" customWidth="1"/>
    <col min="9" max="9" width="15" customWidth="1"/>
    <col min="10" max="10" width="9" customWidth="1"/>
    <col min="11" max="11" width="10" customWidth="1"/>
    <col min="12" max="12" width="8" customWidth="1"/>
    <col min="13" max="13" width="15" customWidth="1"/>
  </cols>
  <sheetData>
    <row r="1" spans="1:13" x14ac:dyDescent="0.2">
      <c r="A1" s="10" t="s">
        <v>56</v>
      </c>
      <c r="B1" s="11">
        <v>2026</v>
      </c>
      <c r="D1" s="10" t="s">
        <v>31</v>
      </c>
      <c r="E1" s="11">
        <v>5</v>
      </c>
    </row>
    <row r="2" spans="1:13" x14ac:dyDescent="0.2">
      <c r="B2" s="13" t="str">
        <f>IF(Jahresübersicht!A6="","",Jahresübersicht!A6)</f>
        <v/>
      </c>
      <c r="D2" s="13" t="str">
        <f>IF(Jahresübersicht!C6="","",Jahresübersicht!C6)</f>
        <v/>
      </c>
      <c r="F2" s="14" t="str">
        <f>IF(Jahresübersicht!E6="","",Jahresübersicht!E6)</f>
        <v/>
      </c>
      <c r="H2" s="18"/>
      <c r="I2" s="15" t="s">
        <v>57</v>
      </c>
    </row>
    <row r="3" spans="1:13" ht="16" x14ac:dyDescent="0.2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7" t="s">
        <v>63</v>
      </c>
      <c r="G3" s="17" t="s">
        <v>64</v>
      </c>
      <c r="H3" s="17" t="s">
        <v>65</v>
      </c>
      <c r="I3" s="1" t="s">
        <v>66</v>
      </c>
      <c r="J3" s="17" t="s">
        <v>67</v>
      </c>
      <c r="K3" s="17" t="s">
        <v>68</v>
      </c>
      <c r="L3" s="17" t="s">
        <v>69</v>
      </c>
      <c r="M3" s="1" t="s">
        <v>70</v>
      </c>
    </row>
    <row r="4" spans="1:13" x14ac:dyDescent="0.2">
      <c r="A4" s="19">
        <f>IF(DAY(DATE(2026,5+1,0))&gt;=1,DATE(2026,5,1),"")</f>
        <v>46143</v>
      </c>
      <c r="B4" s="16"/>
      <c r="C4" s="16"/>
      <c r="D4" s="16"/>
      <c r="E4" s="12" t="str">
        <f t="shared" ref="E4:E34" si="0">IF(OR(B4="",C4=""),"",IF(OR(B4&lt;90,C4&lt;60),"Zu niedrig",IF(AND(B4&lt;120,C4&lt;80),"Optimal",IF(AND(B4&lt;130,C4&lt;85),"Normal",IF(AND(B4&lt;140,C4&lt;90),"Hoch-normal",IF(AND(B4&lt;160,C4&lt;100),"Hypertonie Grad 1",IF(AND(B4&lt;180,C4&lt;110),"Hypertonie Grad 2","Hypertonie Grad 3")))))))</f>
        <v/>
      </c>
      <c r="F4" s="11"/>
      <c r="G4" s="11"/>
      <c r="H4" s="11"/>
      <c r="I4" s="12" t="str">
        <f t="shared" ref="I4:I34" si="1">IF(OR(F4="",G4=""),"",IF(OR(F4&lt;90,G4&lt;60),"Zu niedrig",IF(AND(F4&lt;120,G4&lt;80),"Optimal",IF(AND(F4&lt;130,G4&lt;85),"Normal",IF(AND(F4&lt;140,G4&lt;90),"Hoch-normal",IF(AND(F4&lt;160,G4&lt;100),"Hypertonie Grad 1",IF(AND(F4&lt;180,G4&lt;110),"Hypertonie Grad 2","Hypertonie Grad 3")))))))</f>
        <v/>
      </c>
      <c r="J4" s="11"/>
      <c r="K4" s="11"/>
      <c r="L4" s="11"/>
      <c r="M4" s="12" t="str">
        <f t="shared" ref="M4:M34" si="2">IF(OR(J4="",K4=""),"",IF(OR(J4&lt;90,K4&lt;60),"Zu niedrig",IF(AND(J4&lt;120,K4&lt;80),"Optimal",IF(AND(J4&lt;130,K4&lt;85),"Normal",IF(AND(J4&lt;140,K4&lt;90),"Hoch-normal",IF(AND(J4&lt;160,K4&lt;100),"Hypertonie Grad 1",IF(AND(J4&lt;180,K4&lt;110),"Hypertonie Grad 2","Hypertonie Grad 3")))))))</f>
        <v/>
      </c>
    </row>
    <row r="5" spans="1:13" x14ac:dyDescent="0.2">
      <c r="A5" s="19">
        <f>IF(DAY(DATE(2026,5+1,0))&gt;=2,DATE(2026,5,2),"")</f>
        <v>46144</v>
      </c>
      <c r="B5" s="16"/>
      <c r="C5" s="16"/>
      <c r="D5" s="16"/>
      <c r="E5" s="12" t="str">
        <f t="shared" si="0"/>
        <v/>
      </c>
      <c r="F5" s="11"/>
      <c r="G5" s="11"/>
      <c r="H5" s="11"/>
      <c r="I5" s="12" t="str">
        <f t="shared" si="1"/>
        <v/>
      </c>
      <c r="J5" s="11"/>
      <c r="K5" s="11"/>
      <c r="L5" s="11"/>
      <c r="M5" s="12" t="str">
        <f t="shared" si="2"/>
        <v/>
      </c>
    </row>
    <row r="6" spans="1:13" x14ac:dyDescent="0.2">
      <c r="A6" s="19">
        <f>IF(DAY(DATE(2026,5+1,0))&gt;=3,DATE(2026,5,3),"")</f>
        <v>46145</v>
      </c>
      <c r="B6" s="16"/>
      <c r="C6" s="16"/>
      <c r="D6" s="16"/>
      <c r="E6" s="12" t="str">
        <f t="shared" si="0"/>
        <v/>
      </c>
      <c r="F6" s="11"/>
      <c r="G6" s="11"/>
      <c r="H6" s="11"/>
      <c r="I6" s="12" t="str">
        <f t="shared" si="1"/>
        <v/>
      </c>
      <c r="J6" s="11"/>
      <c r="K6" s="11"/>
      <c r="L6" s="11"/>
      <c r="M6" s="12" t="str">
        <f t="shared" si="2"/>
        <v/>
      </c>
    </row>
    <row r="7" spans="1:13" x14ac:dyDescent="0.2">
      <c r="A7" s="19">
        <f>IF(DAY(DATE(2026,5+1,0))&gt;=4,DATE(2026,5,4),"")</f>
        <v>46146</v>
      </c>
      <c r="B7" s="16"/>
      <c r="C7" s="16"/>
      <c r="D7" s="16"/>
      <c r="E7" s="12" t="str">
        <f t="shared" si="0"/>
        <v/>
      </c>
      <c r="F7" s="11"/>
      <c r="G7" s="11"/>
      <c r="H7" s="11"/>
      <c r="I7" s="12" t="str">
        <f t="shared" si="1"/>
        <v/>
      </c>
      <c r="J7" s="11"/>
      <c r="K7" s="11"/>
      <c r="L7" s="11"/>
      <c r="M7" s="12" t="str">
        <f t="shared" si="2"/>
        <v/>
      </c>
    </row>
    <row r="8" spans="1:13" x14ac:dyDescent="0.2">
      <c r="A8" s="19">
        <f>IF(DAY(DATE(2026,5+1,0))&gt;=5,DATE(2026,5,5),"")</f>
        <v>46147</v>
      </c>
      <c r="B8" s="16"/>
      <c r="C8" s="16"/>
      <c r="D8" s="16"/>
      <c r="E8" s="12" t="str">
        <f t="shared" si="0"/>
        <v/>
      </c>
      <c r="F8" s="11"/>
      <c r="G8" s="11"/>
      <c r="H8" s="11"/>
      <c r="I8" s="12" t="str">
        <f t="shared" si="1"/>
        <v/>
      </c>
      <c r="J8" s="11"/>
      <c r="K8" s="11"/>
      <c r="L8" s="11"/>
      <c r="M8" s="12" t="str">
        <f t="shared" si="2"/>
        <v/>
      </c>
    </row>
    <row r="9" spans="1:13" x14ac:dyDescent="0.2">
      <c r="A9" s="19">
        <f>IF(DAY(DATE(2026,5+1,0))&gt;=6,DATE(2026,5,6),"")</f>
        <v>46148</v>
      </c>
      <c r="B9" s="16"/>
      <c r="C9" s="16"/>
      <c r="D9" s="16"/>
      <c r="E9" s="12" t="str">
        <f t="shared" si="0"/>
        <v/>
      </c>
      <c r="F9" s="11"/>
      <c r="G9" s="11"/>
      <c r="H9" s="11"/>
      <c r="I9" s="12" t="str">
        <f t="shared" si="1"/>
        <v/>
      </c>
      <c r="J9" s="11"/>
      <c r="K9" s="11"/>
      <c r="L9" s="11"/>
      <c r="M9" s="12" t="str">
        <f t="shared" si="2"/>
        <v/>
      </c>
    </row>
    <row r="10" spans="1:13" x14ac:dyDescent="0.2">
      <c r="A10" s="19">
        <f>IF(DAY(DATE(2026,5+1,0))&gt;=7,DATE(2026,5,7),"")</f>
        <v>46149</v>
      </c>
      <c r="B10" s="16"/>
      <c r="C10" s="16"/>
      <c r="D10" s="16"/>
      <c r="E10" s="12" t="str">
        <f t="shared" si="0"/>
        <v/>
      </c>
      <c r="F10" s="11"/>
      <c r="G10" s="11"/>
      <c r="H10" s="11"/>
      <c r="I10" s="12" t="str">
        <f t="shared" si="1"/>
        <v/>
      </c>
      <c r="J10" s="11"/>
      <c r="K10" s="11"/>
      <c r="L10" s="11"/>
      <c r="M10" s="12" t="str">
        <f t="shared" si="2"/>
        <v/>
      </c>
    </row>
    <row r="11" spans="1:13" x14ac:dyDescent="0.2">
      <c r="A11" s="19">
        <f>IF(DAY(DATE(2026,5+1,0))&gt;=8,DATE(2026,5,8),"")</f>
        <v>46150</v>
      </c>
      <c r="B11" s="16"/>
      <c r="C11" s="16"/>
      <c r="D11" s="16"/>
      <c r="E11" s="12" t="str">
        <f t="shared" si="0"/>
        <v/>
      </c>
      <c r="F11" s="11"/>
      <c r="G11" s="11"/>
      <c r="H11" s="11"/>
      <c r="I11" s="12" t="str">
        <f t="shared" si="1"/>
        <v/>
      </c>
      <c r="J11" s="11"/>
      <c r="K11" s="11"/>
      <c r="L11" s="11"/>
      <c r="M11" s="12" t="str">
        <f t="shared" si="2"/>
        <v/>
      </c>
    </row>
    <row r="12" spans="1:13" x14ac:dyDescent="0.2">
      <c r="A12" s="19">
        <f>IF(DAY(DATE(2026,5+1,0))&gt;=9,DATE(2026,5,9),"")</f>
        <v>46151</v>
      </c>
      <c r="B12" s="16"/>
      <c r="C12" s="16"/>
      <c r="D12" s="16"/>
      <c r="E12" s="12" t="str">
        <f t="shared" si="0"/>
        <v/>
      </c>
      <c r="F12" s="11"/>
      <c r="G12" s="11"/>
      <c r="H12" s="11"/>
      <c r="I12" s="12" t="str">
        <f t="shared" si="1"/>
        <v/>
      </c>
      <c r="J12" s="11"/>
      <c r="K12" s="11"/>
      <c r="L12" s="11"/>
      <c r="M12" s="12" t="str">
        <f t="shared" si="2"/>
        <v/>
      </c>
    </row>
    <row r="13" spans="1:13" x14ac:dyDescent="0.2">
      <c r="A13" s="19">
        <f>IF(DAY(DATE(2026,5+1,0))&gt;=10,DATE(2026,5,10),"")</f>
        <v>46152</v>
      </c>
      <c r="B13" s="16"/>
      <c r="C13" s="16"/>
      <c r="D13" s="16"/>
      <c r="E13" s="12" t="str">
        <f t="shared" si="0"/>
        <v/>
      </c>
      <c r="F13" s="11"/>
      <c r="G13" s="11"/>
      <c r="H13" s="11"/>
      <c r="I13" s="12" t="str">
        <f t="shared" si="1"/>
        <v/>
      </c>
      <c r="J13" s="11"/>
      <c r="K13" s="11"/>
      <c r="L13" s="11"/>
      <c r="M13" s="12" t="str">
        <f t="shared" si="2"/>
        <v/>
      </c>
    </row>
    <row r="14" spans="1:13" x14ac:dyDescent="0.2">
      <c r="A14" s="19">
        <f>IF(DAY(DATE(2026,5+1,0))&gt;=11,DATE(2026,5,11),"")</f>
        <v>46153</v>
      </c>
      <c r="B14" s="16"/>
      <c r="C14" s="16"/>
      <c r="D14" s="16"/>
      <c r="E14" s="12" t="str">
        <f t="shared" si="0"/>
        <v/>
      </c>
      <c r="F14" s="11"/>
      <c r="G14" s="11"/>
      <c r="H14" s="11"/>
      <c r="I14" s="12" t="str">
        <f t="shared" si="1"/>
        <v/>
      </c>
      <c r="J14" s="11"/>
      <c r="K14" s="11"/>
      <c r="L14" s="11"/>
      <c r="M14" s="12" t="str">
        <f t="shared" si="2"/>
        <v/>
      </c>
    </row>
    <row r="15" spans="1:13" x14ac:dyDescent="0.2">
      <c r="A15" s="19">
        <f>IF(DAY(DATE(2026,5+1,0))&gt;=12,DATE(2026,5,12),"")</f>
        <v>46154</v>
      </c>
      <c r="B15" s="16"/>
      <c r="C15" s="16"/>
      <c r="D15" s="16"/>
      <c r="E15" s="12" t="str">
        <f t="shared" si="0"/>
        <v/>
      </c>
      <c r="F15" s="11"/>
      <c r="G15" s="11"/>
      <c r="H15" s="11"/>
      <c r="I15" s="12" t="str">
        <f t="shared" si="1"/>
        <v/>
      </c>
      <c r="J15" s="11"/>
      <c r="K15" s="11"/>
      <c r="L15" s="11"/>
      <c r="M15" s="12" t="str">
        <f t="shared" si="2"/>
        <v/>
      </c>
    </row>
    <row r="16" spans="1:13" x14ac:dyDescent="0.2">
      <c r="A16" s="19">
        <f>IF(DAY(DATE(2026,5+1,0))&gt;=13,DATE(2026,5,13),"")</f>
        <v>46155</v>
      </c>
      <c r="B16" s="16"/>
      <c r="C16" s="16"/>
      <c r="D16" s="16"/>
      <c r="E16" s="12" t="str">
        <f t="shared" si="0"/>
        <v/>
      </c>
      <c r="F16" s="11"/>
      <c r="G16" s="11"/>
      <c r="H16" s="11"/>
      <c r="I16" s="12" t="str">
        <f t="shared" si="1"/>
        <v/>
      </c>
      <c r="J16" s="11"/>
      <c r="K16" s="11"/>
      <c r="L16" s="11"/>
      <c r="M16" s="12" t="str">
        <f t="shared" si="2"/>
        <v/>
      </c>
    </row>
    <row r="17" spans="1:13" x14ac:dyDescent="0.2">
      <c r="A17" s="19">
        <f>IF(DAY(DATE(2026,5+1,0))&gt;=14,DATE(2026,5,14),"")</f>
        <v>46156</v>
      </c>
      <c r="B17" s="16"/>
      <c r="C17" s="16"/>
      <c r="D17" s="16"/>
      <c r="E17" s="12" t="str">
        <f t="shared" si="0"/>
        <v/>
      </c>
      <c r="F17" s="11"/>
      <c r="G17" s="11"/>
      <c r="H17" s="11"/>
      <c r="I17" s="12" t="str">
        <f t="shared" si="1"/>
        <v/>
      </c>
      <c r="J17" s="11"/>
      <c r="K17" s="11"/>
      <c r="L17" s="11"/>
      <c r="M17" s="12" t="str">
        <f t="shared" si="2"/>
        <v/>
      </c>
    </row>
    <row r="18" spans="1:13" x14ac:dyDescent="0.2">
      <c r="A18" s="19">
        <f>IF(DAY(DATE(2026,5+1,0))&gt;=15,DATE(2026,5,15),"")</f>
        <v>46157</v>
      </c>
      <c r="B18" s="16"/>
      <c r="C18" s="16"/>
      <c r="D18" s="16"/>
      <c r="E18" s="12" t="str">
        <f t="shared" si="0"/>
        <v/>
      </c>
      <c r="F18" s="11"/>
      <c r="G18" s="11"/>
      <c r="H18" s="11"/>
      <c r="I18" s="12" t="str">
        <f t="shared" si="1"/>
        <v/>
      </c>
      <c r="J18" s="11"/>
      <c r="K18" s="11"/>
      <c r="L18" s="11"/>
      <c r="M18" s="12" t="str">
        <f t="shared" si="2"/>
        <v/>
      </c>
    </row>
    <row r="19" spans="1:13" x14ac:dyDescent="0.2">
      <c r="A19" s="19">
        <f>IF(DAY(DATE(2026,5+1,0))&gt;=16,DATE(2026,5,16),"")</f>
        <v>46158</v>
      </c>
      <c r="B19" s="16"/>
      <c r="C19" s="16"/>
      <c r="D19" s="16"/>
      <c r="E19" s="12" t="str">
        <f t="shared" si="0"/>
        <v/>
      </c>
      <c r="F19" s="11"/>
      <c r="G19" s="11"/>
      <c r="H19" s="11"/>
      <c r="I19" s="12" t="str">
        <f t="shared" si="1"/>
        <v/>
      </c>
      <c r="J19" s="11"/>
      <c r="K19" s="11"/>
      <c r="L19" s="11"/>
      <c r="M19" s="12" t="str">
        <f t="shared" si="2"/>
        <v/>
      </c>
    </row>
    <row r="20" spans="1:13" x14ac:dyDescent="0.2">
      <c r="A20" s="19">
        <f>IF(DAY(DATE(2026,5+1,0))&gt;=17,DATE(2026,5,17),"")</f>
        <v>46159</v>
      </c>
      <c r="B20" s="16"/>
      <c r="C20" s="16"/>
      <c r="D20" s="16"/>
      <c r="E20" s="12" t="str">
        <f t="shared" si="0"/>
        <v/>
      </c>
      <c r="F20" s="11"/>
      <c r="G20" s="11"/>
      <c r="H20" s="11"/>
      <c r="I20" s="12" t="str">
        <f t="shared" si="1"/>
        <v/>
      </c>
      <c r="J20" s="11"/>
      <c r="K20" s="11"/>
      <c r="L20" s="11"/>
      <c r="M20" s="12" t="str">
        <f t="shared" si="2"/>
        <v/>
      </c>
    </row>
    <row r="21" spans="1:13" x14ac:dyDescent="0.2">
      <c r="A21" s="19">
        <f>IF(DAY(DATE(2026,5+1,0))&gt;=18,DATE(2026,5,18),"")</f>
        <v>46160</v>
      </c>
      <c r="B21" s="16"/>
      <c r="C21" s="16"/>
      <c r="D21" s="16"/>
      <c r="E21" s="12" t="str">
        <f t="shared" si="0"/>
        <v/>
      </c>
      <c r="F21" s="11"/>
      <c r="G21" s="11"/>
      <c r="H21" s="11"/>
      <c r="I21" s="12" t="str">
        <f t="shared" si="1"/>
        <v/>
      </c>
      <c r="J21" s="11"/>
      <c r="K21" s="11"/>
      <c r="L21" s="11"/>
      <c r="M21" s="12" t="str">
        <f t="shared" si="2"/>
        <v/>
      </c>
    </row>
    <row r="22" spans="1:13" x14ac:dyDescent="0.2">
      <c r="A22" s="19">
        <f>IF(DAY(DATE(2026,5+1,0))&gt;=19,DATE(2026,5,19),"")</f>
        <v>46161</v>
      </c>
      <c r="B22" s="16"/>
      <c r="C22" s="16"/>
      <c r="D22" s="16"/>
      <c r="E22" s="12" t="str">
        <f t="shared" si="0"/>
        <v/>
      </c>
      <c r="F22" s="11"/>
      <c r="G22" s="11"/>
      <c r="H22" s="11"/>
      <c r="I22" s="12" t="str">
        <f t="shared" si="1"/>
        <v/>
      </c>
      <c r="J22" s="11"/>
      <c r="K22" s="11"/>
      <c r="L22" s="11"/>
      <c r="M22" s="12" t="str">
        <f t="shared" si="2"/>
        <v/>
      </c>
    </row>
    <row r="23" spans="1:13" x14ac:dyDescent="0.2">
      <c r="A23" s="19">
        <f>IF(DAY(DATE(2026,5+1,0))&gt;=20,DATE(2026,5,20),"")</f>
        <v>46162</v>
      </c>
      <c r="B23" s="16"/>
      <c r="C23" s="16"/>
      <c r="D23" s="16"/>
      <c r="E23" s="12" t="str">
        <f t="shared" si="0"/>
        <v/>
      </c>
      <c r="F23" s="11"/>
      <c r="G23" s="11"/>
      <c r="H23" s="11"/>
      <c r="I23" s="12" t="str">
        <f t="shared" si="1"/>
        <v/>
      </c>
      <c r="J23" s="11"/>
      <c r="K23" s="11"/>
      <c r="L23" s="11"/>
      <c r="M23" s="12" t="str">
        <f t="shared" si="2"/>
        <v/>
      </c>
    </row>
    <row r="24" spans="1:13" x14ac:dyDescent="0.2">
      <c r="A24" s="19">
        <f>IF(DAY(DATE(2026,5+1,0))&gt;=21,DATE(2026,5,21),"")</f>
        <v>46163</v>
      </c>
      <c r="B24" s="16"/>
      <c r="C24" s="16"/>
      <c r="D24" s="16"/>
      <c r="E24" s="12" t="str">
        <f t="shared" si="0"/>
        <v/>
      </c>
      <c r="F24" s="11"/>
      <c r="G24" s="11"/>
      <c r="H24" s="11"/>
      <c r="I24" s="12" t="str">
        <f t="shared" si="1"/>
        <v/>
      </c>
      <c r="J24" s="11"/>
      <c r="K24" s="11"/>
      <c r="L24" s="11"/>
      <c r="M24" s="12" t="str">
        <f t="shared" si="2"/>
        <v/>
      </c>
    </row>
    <row r="25" spans="1:13" x14ac:dyDescent="0.2">
      <c r="A25" s="19">
        <f>IF(DAY(DATE(2026,5+1,0))&gt;=22,DATE(2026,5,22),"")</f>
        <v>46164</v>
      </c>
      <c r="B25" s="16"/>
      <c r="C25" s="16"/>
      <c r="D25" s="16"/>
      <c r="E25" s="12" t="str">
        <f t="shared" si="0"/>
        <v/>
      </c>
      <c r="F25" s="11"/>
      <c r="G25" s="11"/>
      <c r="H25" s="11"/>
      <c r="I25" s="12" t="str">
        <f t="shared" si="1"/>
        <v/>
      </c>
      <c r="J25" s="11"/>
      <c r="K25" s="11"/>
      <c r="L25" s="11"/>
      <c r="M25" s="12" t="str">
        <f t="shared" si="2"/>
        <v/>
      </c>
    </row>
    <row r="26" spans="1:13" x14ac:dyDescent="0.2">
      <c r="A26" s="19">
        <f>IF(DAY(DATE(2026,5+1,0))&gt;=23,DATE(2026,5,23),"")</f>
        <v>46165</v>
      </c>
      <c r="B26" s="16"/>
      <c r="C26" s="16"/>
      <c r="D26" s="16"/>
      <c r="E26" s="12" t="str">
        <f t="shared" si="0"/>
        <v/>
      </c>
      <c r="F26" s="11"/>
      <c r="G26" s="11"/>
      <c r="H26" s="11"/>
      <c r="I26" s="12" t="str">
        <f t="shared" si="1"/>
        <v/>
      </c>
      <c r="J26" s="11"/>
      <c r="K26" s="11"/>
      <c r="L26" s="11"/>
      <c r="M26" s="12" t="str">
        <f t="shared" si="2"/>
        <v/>
      </c>
    </row>
    <row r="27" spans="1:13" x14ac:dyDescent="0.2">
      <c r="A27" s="19">
        <f>IF(DAY(DATE(2026,5+1,0))&gt;=24,DATE(2026,5,24),"")</f>
        <v>46166</v>
      </c>
      <c r="B27" s="16"/>
      <c r="C27" s="16"/>
      <c r="D27" s="16"/>
      <c r="E27" s="12" t="str">
        <f t="shared" si="0"/>
        <v/>
      </c>
      <c r="F27" s="11"/>
      <c r="G27" s="11"/>
      <c r="H27" s="11"/>
      <c r="I27" s="12" t="str">
        <f t="shared" si="1"/>
        <v/>
      </c>
      <c r="J27" s="11"/>
      <c r="K27" s="11"/>
      <c r="L27" s="11"/>
      <c r="M27" s="12" t="str">
        <f t="shared" si="2"/>
        <v/>
      </c>
    </row>
    <row r="28" spans="1:13" x14ac:dyDescent="0.2">
      <c r="A28" s="19">
        <f>IF(DAY(DATE(2026,5+1,0))&gt;=25,DATE(2026,5,25),"")</f>
        <v>46167</v>
      </c>
      <c r="B28" s="16"/>
      <c r="C28" s="16"/>
      <c r="D28" s="16"/>
      <c r="E28" s="12" t="str">
        <f t="shared" si="0"/>
        <v/>
      </c>
      <c r="F28" s="11"/>
      <c r="G28" s="11"/>
      <c r="H28" s="11"/>
      <c r="I28" s="12" t="str">
        <f t="shared" si="1"/>
        <v/>
      </c>
      <c r="J28" s="11"/>
      <c r="K28" s="11"/>
      <c r="L28" s="11"/>
      <c r="M28" s="12" t="str">
        <f t="shared" si="2"/>
        <v/>
      </c>
    </row>
    <row r="29" spans="1:13" x14ac:dyDescent="0.2">
      <c r="A29" s="19">
        <f>IF(DAY(DATE(2026,5+1,0))&gt;=26,DATE(2026,5,26),"")</f>
        <v>46168</v>
      </c>
      <c r="B29" s="16"/>
      <c r="C29" s="16"/>
      <c r="D29" s="16"/>
      <c r="E29" s="12" t="str">
        <f t="shared" si="0"/>
        <v/>
      </c>
      <c r="F29" s="11"/>
      <c r="G29" s="11"/>
      <c r="H29" s="11"/>
      <c r="I29" s="12" t="str">
        <f t="shared" si="1"/>
        <v/>
      </c>
      <c r="J29" s="11"/>
      <c r="K29" s="11"/>
      <c r="L29" s="11"/>
      <c r="M29" s="12" t="str">
        <f t="shared" si="2"/>
        <v/>
      </c>
    </row>
    <row r="30" spans="1:13" x14ac:dyDescent="0.2">
      <c r="A30" s="19">
        <f>IF(DAY(DATE(2026,5+1,0))&gt;=27,DATE(2026,5,27),"")</f>
        <v>46169</v>
      </c>
      <c r="B30" s="16"/>
      <c r="C30" s="16"/>
      <c r="D30" s="16"/>
      <c r="E30" s="12" t="str">
        <f t="shared" si="0"/>
        <v/>
      </c>
      <c r="F30" s="11"/>
      <c r="G30" s="11"/>
      <c r="H30" s="11"/>
      <c r="I30" s="12" t="str">
        <f t="shared" si="1"/>
        <v/>
      </c>
      <c r="J30" s="11"/>
      <c r="K30" s="11"/>
      <c r="L30" s="11"/>
      <c r="M30" s="12" t="str">
        <f t="shared" si="2"/>
        <v/>
      </c>
    </row>
    <row r="31" spans="1:13" x14ac:dyDescent="0.2">
      <c r="A31" s="19">
        <f>IF(DAY(DATE(2026,5+1,0))&gt;=28,DATE(2026,5,28),"")</f>
        <v>46170</v>
      </c>
      <c r="B31" s="16"/>
      <c r="C31" s="16"/>
      <c r="D31" s="16"/>
      <c r="E31" s="12" t="str">
        <f t="shared" si="0"/>
        <v/>
      </c>
      <c r="F31" s="11"/>
      <c r="G31" s="11"/>
      <c r="H31" s="11"/>
      <c r="I31" s="12" t="str">
        <f t="shared" si="1"/>
        <v/>
      </c>
      <c r="J31" s="11"/>
      <c r="K31" s="11"/>
      <c r="L31" s="11"/>
      <c r="M31" s="12" t="str">
        <f t="shared" si="2"/>
        <v/>
      </c>
    </row>
    <row r="32" spans="1:13" x14ac:dyDescent="0.2">
      <c r="A32" s="19">
        <f>IF(DAY(DATE(2026,5+1,0))&gt;=29,DATE(2026,5,29),"")</f>
        <v>46171</v>
      </c>
      <c r="B32" s="16"/>
      <c r="C32" s="16"/>
      <c r="D32" s="16"/>
      <c r="E32" s="12" t="str">
        <f t="shared" si="0"/>
        <v/>
      </c>
      <c r="F32" s="11"/>
      <c r="G32" s="11"/>
      <c r="H32" s="11"/>
      <c r="I32" s="12" t="str">
        <f t="shared" si="1"/>
        <v/>
      </c>
      <c r="J32" s="11"/>
      <c r="K32" s="11"/>
      <c r="L32" s="11"/>
      <c r="M32" s="12" t="str">
        <f t="shared" si="2"/>
        <v/>
      </c>
    </row>
    <row r="33" spans="1:13" x14ac:dyDescent="0.2">
      <c r="A33" s="19">
        <f>IF(DAY(DATE(2026,5+1,0))&gt;=30,DATE(2026,5,30),"")</f>
        <v>46172</v>
      </c>
      <c r="B33" s="16"/>
      <c r="C33" s="16"/>
      <c r="D33" s="16"/>
      <c r="E33" s="12" t="str">
        <f t="shared" si="0"/>
        <v/>
      </c>
      <c r="F33" s="11"/>
      <c r="G33" s="11"/>
      <c r="H33" s="11"/>
      <c r="I33" s="12" t="str">
        <f t="shared" si="1"/>
        <v/>
      </c>
      <c r="J33" s="11"/>
      <c r="K33" s="11"/>
      <c r="L33" s="11"/>
      <c r="M33" s="12" t="str">
        <f t="shared" si="2"/>
        <v/>
      </c>
    </row>
    <row r="34" spans="1:13" x14ac:dyDescent="0.2">
      <c r="A34" s="19">
        <f>IF(DAY(DATE(2026,5+1,0))&gt;=31,DATE(2026,5,31),"")</f>
        <v>46173</v>
      </c>
      <c r="B34" s="16"/>
      <c r="C34" s="16"/>
      <c r="D34" s="16"/>
      <c r="E34" s="12" t="str">
        <f t="shared" si="0"/>
        <v/>
      </c>
      <c r="F34" s="11"/>
      <c r="G34" s="11"/>
      <c r="H34" s="11"/>
      <c r="I34" s="12" t="str">
        <f t="shared" si="1"/>
        <v/>
      </c>
      <c r="J34" s="11"/>
      <c r="K34" s="11"/>
      <c r="L34" s="11"/>
      <c r="M34" s="12" t="str">
        <f t="shared" si="2"/>
        <v/>
      </c>
    </row>
  </sheetData>
  <sheetProtection password="CB1D" sheet="1"/>
  <conditionalFormatting sqref="B4:D34">
    <cfRule type="expression" dxfId="215" priority="23">
      <formula>$E4="Hypertonie Grad 3"</formula>
    </cfRule>
    <cfRule type="expression" dxfId="214" priority="22">
      <formula>$E4="Hypertonie Grad 2"</formula>
    </cfRule>
  </conditionalFormatting>
  <conditionalFormatting sqref="E4:E34">
    <cfRule type="expression" dxfId="213" priority="1">
      <formula>$E4="Zu niedrig"</formula>
    </cfRule>
    <cfRule type="expression" dxfId="212" priority="2">
      <formula>$E4="Optimal"</formula>
    </cfRule>
    <cfRule type="expression" dxfId="211" priority="3">
      <formula>$E4="Normal"</formula>
    </cfRule>
    <cfRule type="expression" dxfId="210" priority="4">
      <formula>$E4="Hoch-normal"</formula>
    </cfRule>
    <cfRule type="expression" dxfId="209" priority="5">
      <formula>$E4="Hypertonie Grad 1"</formula>
    </cfRule>
    <cfRule type="expression" dxfId="208" priority="6">
      <formula>$E4="Hypertonie Grad 2"</formula>
    </cfRule>
    <cfRule type="expression" dxfId="207" priority="7">
      <formula>$E4="Hypertonie Grad 3"</formula>
    </cfRule>
  </conditionalFormatting>
  <conditionalFormatting sqref="F4:H34">
    <cfRule type="expression" dxfId="206" priority="25">
      <formula>$I4="Hypertonie Grad 3"</formula>
    </cfRule>
    <cfRule type="expression" dxfId="205" priority="24">
      <formula>$I4="Hypertonie Grad 2"</formula>
    </cfRule>
  </conditionalFormatting>
  <conditionalFormatting sqref="I4:I34">
    <cfRule type="expression" dxfId="204" priority="14">
      <formula>$I4="Hypertonie Grad 3"</formula>
    </cfRule>
    <cfRule type="expression" dxfId="203" priority="13">
      <formula>$I4="Hypertonie Grad 2"</formula>
    </cfRule>
    <cfRule type="expression" dxfId="202" priority="12">
      <formula>$I4="Hypertonie Grad 1"</formula>
    </cfRule>
    <cfRule type="expression" dxfId="201" priority="11">
      <formula>$I4="Hoch-normal"</formula>
    </cfRule>
    <cfRule type="expression" dxfId="200" priority="10">
      <formula>$I4="Normal"</formula>
    </cfRule>
    <cfRule type="expression" dxfId="199" priority="9">
      <formula>$I4="Optimal"</formula>
    </cfRule>
    <cfRule type="expression" dxfId="198" priority="8">
      <formula>$I4="Zu niedrig"</formula>
    </cfRule>
  </conditionalFormatting>
  <conditionalFormatting sqref="J4:L34">
    <cfRule type="expression" dxfId="197" priority="26">
      <formula>$M4="Hypertonie Grad 2"</formula>
    </cfRule>
    <cfRule type="expression" dxfId="196" priority="27">
      <formula>$M4="Hypertonie Grad 3"</formula>
    </cfRule>
  </conditionalFormatting>
  <conditionalFormatting sqref="M4:M34">
    <cfRule type="expression" dxfId="195" priority="15">
      <formula>$M4="Zu niedrig"</formula>
    </cfRule>
    <cfRule type="expression" dxfId="194" priority="16">
      <formula>$M4="Optimal"</formula>
    </cfRule>
    <cfRule type="expression" dxfId="193" priority="17">
      <formula>$M4="Normal"</formula>
    </cfRule>
    <cfRule type="expression" dxfId="192" priority="18">
      <formula>$M4="Hoch-normal"</formula>
    </cfRule>
    <cfRule type="expression" dxfId="191" priority="19">
      <formula>$M4="Hypertonie Grad 1"</formula>
    </cfRule>
    <cfRule type="expression" dxfId="190" priority="20">
      <formula>$M4="Hypertonie Grad 2"</formula>
    </cfRule>
    <cfRule type="expression" dxfId="189" priority="21">
      <formula>$M4="Hypertonie Grad 3"</formula>
    </cfRule>
  </conditionalFormatting>
  <printOptions horizontalCentered="1"/>
  <pageMargins left="0.4" right="0.4" top="0.6" bottom="0.6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34"/>
  <sheetViews>
    <sheetView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2" customWidth="1"/>
    <col min="2" max="2" width="9" customWidth="1"/>
    <col min="3" max="3" width="10" customWidth="1"/>
    <col min="4" max="4" width="8" customWidth="1"/>
    <col min="5" max="5" width="15" customWidth="1"/>
    <col min="6" max="6" width="16" customWidth="1"/>
    <col min="7" max="7" width="10" customWidth="1"/>
    <col min="8" max="8" width="8" customWidth="1"/>
    <col min="9" max="9" width="15" customWidth="1"/>
    <col min="10" max="10" width="9" customWidth="1"/>
    <col min="11" max="11" width="10" customWidth="1"/>
    <col min="12" max="12" width="8" customWidth="1"/>
    <col min="13" max="13" width="15" customWidth="1"/>
  </cols>
  <sheetData>
    <row r="1" spans="1:13" x14ac:dyDescent="0.2">
      <c r="A1" s="10" t="s">
        <v>56</v>
      </c>
      <c r="B1" s="11">
        <v>2026</v>
      </c>
      <c r="D1" s="10" t="s">
        <v>31</v>
      </c>
      <c r="E1" s="11">
        <v>6</v>
      </c>
    </row>
    <row r="2" spans="1:13" x14ac:dyDescent="0.2">
      <c r="B2" s="13" t="str">
        <f>IF(Jahresübersicht!A6="","",Jahresübersicht!A6)</f>
        <v/>
      </c>
      <c r="D2" s="13" t="str">
        <f>IF(Jahresübersicht!C6="","",Jahresübersicht!C6)</f>
        <v/>
      </c>
      <c r="F2" s="14" t="str">
        <f>IF(Jahresübersicht!E6="","",Jahresübersicht!E6)</f>
        <v/>
      </c>
      <c r="H2" s="18"/>
      <c r="I2" s="15" t="s">
        <v>57</v>
      </c>
    </row>
    <row r="3" spans="1:13" ht="16" x14ac:dyDescent="0.2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7" t="s">
        <v>63</v>
      </c>
      <c r="G3" s="17" t="s">
        <v>64</v>
      </c>
      <c r="H3" s="17" t="s">
        <v>65</v>
      </c>
      <c r="I3" s="1" t="s">
        <v>66</v>
      </c>
      <c r="J3" s="17" t="s">
        <v>67</v>
      </c>
      <c r="K3" s="17" t="s">
        <v>68</v>
      </c>
      <c r="L3" s="17" t="s">
        <v>69</v>
      </c>
      <c r="M3" s="1" t="s">
        <v>70</v>
      </c>
    </row>
    <row r="4" spans="1:13" x14ac:dyDescent="0.2">
      <c r="A4" s="19">
        <f>IF(DAY(DATE(2026,6+1,0))&gt;=1,DATE(2026,6,1),"")</f>
        <v>46174</v>
      </c>
      <c r="B4" s="16"/>
      <c r="C4" s="16"/>
      <c r="D4" s="16"/>
      <c r="E4" s="12" t="str">
        <f t="shared" ref="E4:E34" si="0">IF(OR(B4="",C4=""),"",IF(OR(B4&lt;90,C4&lt;60),"Zu niedrig",IF(AND(B4&lt;120,C4&lt;80),"Optimal",IF(AND(B4&lt;130,C4&lt;85),"Normal",IF(AND(B4&lt;140,C4&lt;90),"Hoch-normal",IF(AND(B4&lt;160,C4&lt;100),"Hypertonie Grad 1",IF(AND(B4&lt;180,C4&lt;110),"Hypertonie Grad 2","Hypertonie Grad 3")))))))</f>
        <v/>
      </c>
      <c r="F4" s="11"/>
      <c r="G4" s="11"/>
      <c r="H4" s="11"/>
      <c r="I4" s="12" t="str">
        <f t="shared" ref="I4:I34" si="1">IF(OR(F4="",G4=""),"",IF(OR(F4&lt;90,G4&lt;60),"Zu niedrig",IF(AND(F4&lt;120,G4&lt;80),"Optimal",IF(AND(F4&lt;130,G4&lt;85),"Normal",IF(AND(F4&lt;140,G4&lt;90),"Hoch-normal",IF(AND(F4&lt;160,G4&lt;100),"Hypertonie Grad 1",IF(AND(F4&lt;180,G4&lt;110),"Hypertonie Grad 2","Hypertonie Grad 3")))))))</f>
        <v/>
      </c>
      <c r="J4" s="11"/>
      <c r="K4" s="11"/>
      <c r="L4" s="11"/>
      <c r="M4" s="12" t="str">
        <f t="shared" ref="M4:M34" si="2">IF(OR(J4="",K4=""),"",IF(OR(J4&lt;90,K4&lt;60),"Zu niedrig",IF(AND(J4&lt;120,K4&lt;80),"Optimal",IF(AND(J4&lt;130,K4&lt;85),"Normal",IF(AND(J4&lt;140,K4&lt;90),"Hoch-normal",IF(AND(J4&lt;160,K4&lt;100),"Hypertonie Grad 1",IF(AND(J4&lt;180,K4&lt;110),"Hypertonie Grad 2","Hypertonie Grad 3")))))))</f>
        <v/>
      </c>
    </row>
    <row r="5" spans="1:13" x14ac:dyDescent="0.2">
      <c r="A5" s="19">
        <f>IF(DAY(DATE(2026,6+1,0))&gt;=2,DATE(2026,6,2),"")</f>
        <v>46175</v>
      </c>
      <c r="B5" s="16"/>
      <c r="C5" s="16"/>
      <c r="D5" s="16"/>
      <c r="E5" s="12" t="str">
        <f t="shared" si="0"/>
        <v/>
      </c>
      <c r="F5" s="11"/>
      <c r="G5" s="11"/>
      <c r="H5" s="11"/>
      <c r="I5" s="12" t="str">
        <f t="shared" si="1"/>
        <v/>
      </c>
      <c r="J5" s="11"/>
      <c r="K5" s="11"/>
      <c r="L5" s="11"/>
      <c r="M5" s="12" t="str">
        <f t="shared" si="2"/>
        <v/>
      </c>
    </row>
    <row r="6" spans="1:13" x14ac:dyDescent="0.2">
      <c r="A6" s="19">
        <f>IF(DAY(DATE(2026,6+1,0))&gt;=3,DATE(2026,6,3),"")</f>
        <v>46176</v>
      </c>
      <c r="B6" s="16"/>
      <c r="C6" s="16"/>
      <c r="D6" s="16"/>
      <c r="E6" s="12" t="str">
        <f t="shared" si="0"/>
        <v/>
      </c>
      <c r="F6" s="11"/>
      <c r="G6" s="11"/>
      <c r="H6" s="11"/>
      <c r="I6" s="12" t="str">
        <f t="shared" si="1"/>
        <v/>
      </c>
      <c r="J6" s="11"/>
      <c r="K6" s="11"/>
      <c r="L6" s="11"/>
      <c r="M6" s="12" t="str">
        <f t="shared" si="2"/>
        <v/>
      </c>
    </row>
    <row r="7" spans="1:13" x14ac:dyDescent="0.2">
      <c r="A7" s="19">
        <f>IF(DAY(DATE(2026,6+1,0))&gt;=4,DATE(2026,6,4),"")</f>
        <v>46177</v>
      </c>
      <c r="B7" s="16"/>
      <c r="C7" s="16"/>
      <c r="D7" s="16"/>
      <c r="E7" s="12" t="str">
        <f t="shared" si="0"/>
        <v/>
      </c>
      <c r="F7" s="11"/>
      <c r="G7" s="11"/>
      <c r="H7" s="11"/>
      <c r="I7" s="12" t="str">
        <f t="shared" si="1"/>
        <v/>
      </c>
      <c r="J7" s="11"/>
      <c r="K7" s="11"/>
      <c r="L7" s="11"/>
      <c r="M7" s="12" t="str">
        <f t="shared" si="2"/>
        <v/>
      </c>
    </row>
    <row r="8" spans="1:13" x14ac:dyDescent="0.2">
      <c r="A8" s="19">
        <f>IF(DAY(DATE(2026,6+1,0))&gt;=5,DATE(2026,6,5),"")</f>
        <v>46178</v>
      </c>
      <c r="B8" s="16"/>
      <c r="C8" s="16"/>
      <c r="D8" s="16"/>
      <c r="E8" s="12" t="str">
        <f t="shared" si="0"/>
        <v/>
      </c>
      <c r="F8" s="11"/>
      <c r="G8" s="11"/>
      <c r="H8" s="11"/>
      <c r="I8" s="12" t="str">
        <f t="shared" si="1"/>
        <v/>
      </c>
      <c r="J8" s="11"/>
      <c r="K8" s="11"/>
      <c r="L8" s="11"/>
      <c r="M8" s="12" t="str">
        <f t="shared" si="2"/>
        <v/>
      </c>
    </row>
    <row r="9" spans="1:13" x14ac:dyDescent="0.2">
      <c r="A9" s="19">
        <f>IF(DAY(DATE(2026,6+1,0))&gt;=6,DATE(2026,6,6),"")</f>
        <v>46179</v>
      </c>
      <c r="B9" s="16"/>
      <c r="C9" s="16"/>
      <c r="D9" s="16"/>
      <c r="E9" s="12" t="str">
        <f t="shared" si="0"/>
        <v/>
      </c>
      <c r="F9" s="11"/>
      <c r="G9" s="11"/>
      <c r="H9" s="11"/>
      <c r="I9" s="12" t="str">
        <f t="shared" si="1"/>
        <v/>
      </c>
      <c r="J9" s="11"/>
      <c r="K9" s="11"/>
      <c r="L9" s="11"/>
      <c r="M9" s="12" t="str">
        <f t="shared" si="2"/>
        <v/>
      </c>
    </row>
    <row r="10" spans="1:13" x14ac:dyDescent="0.2">
      <c r="A10" s="19">
        <f>IF(DAY(DATE(2026,6+1,0))&gt;=7,DATE(2026,6,7),"")</f>
        <v>46180</v>
      </c>
      <c r="B10" s="16"/>
      <c r="C10" s="16"/>
      <c r="D10" s="16"/>
      <c r="E10" s="12" t="str">
        <f t="shared" si="0"/>
        <v/>
      </c>
      <c r="F10" s="11"/>
      <c r="G10" s="11"/>
      <c r="H10" s="11"/>
      <c r="I10" s="12" t="str">
        <f t="shared" si="1"/>
        <v/>
      </c>
      <c r="J10" s="11"/>
      <c r="K10" s="11"/>
      <c r="L10" s="11"/>
      <c r="M10" s="12" t="str">
        <f t="shared" si="2"/>
        <v/>
      </c>
    </row>
    <row r="11" spans="1:13" x14ac:dyDescent="0.2">
      <c r="A11" s="19">
        <f>IF(DAY(DATE(2026,6+1,0))&gt;=8,DATE(2026,6,8),"")</f>
        <v>46181</v>
      </c>
      <c r="B11" s="16"/>
      <c r="C11" s="16"/>
      <c r="D11" s="16"/>
      <c r="E11" s="12" t="str">
        <f t="shared" si="0"/>
        <v/>
      </c>
      <c r="F11" s="11"/>
      <c r="G11" s="11"/>
      <c r="H11" s="11"/>
      <c r="I11" s="12" t="str">
        <f t="shared" si="1"/>
        <v/>
      </c>
      <c r="J11" s="11"/>
      <c r="K11" s="11"/>
      <c r="L11" s="11"/>
      <c r="M11" s="12" t="str">
        <f t="shared" si="2"/>
        <v/>
      </c>
    </row>
    <row r="12" spans="1:13" x14ac:dyDescent="0.2">
      <c r="A12" s="19">
        <f>IF(DAY(DATE(2026,6+1,0))&gt;=9,DATE(2026,6,9),"")</f>
        <v>46182</v>
      </c>
      <c r="B12" s="16"/>
      <c r="C12" s="16"/>
      <c r="D12" s="16"/>
      <c r="E12" s="12" t="str">
        <f t="shared" si="0"/>
        <v/>
      </c>
      <c r="F12" s="11"/>
      <c r="G12" s="11"/>
      <c r="H12" s="11"/>
      <c r="I12" s="12" t="str">
        <f t="shared" si="1"/>
        <v/>
      </c>
      <c r="J12" s="11"/>
      <c r="K12" s="11"/>
      <c r="L12" s="11"/>
      <c r="M12" s="12" t="str">
        <f t="shared" si="2"/>
        <v/>
      </c>
    </row>
    <row r="13" spans="1:13" x14ac:dyDescent="0.2">
      <c r="A13" s="19">
        <f>IF(DAY(DATE(2026,6+1,0))&gt;=10,DATE(2026,6,10),"")</f>
        <v>46183</v>
      </c>
      <c r="B13" s="16"/>
      <c r="C13" s="16"/>
      <c r="D13" s="16"/>
      <c r="E13" s="12" t="str">
        <f t="shared" si="0"/>
        <v/>
      </c>
      <c r="F13" s="11"/>
      <c r="G13" s="11"/>
      <c r="H13" s="11"/>
      <c r="I13" s="12" t="str">
        <f t="shared" si="1"/>
        <v/>
      </c>
      <c r="J13" s="11"/>
      <c r="K13" s="11"/>
      <c r="L13" s="11"/>
      <c r="M13" s="12" t="str">
        <f t="shared" si="2"/>
        <v/>
      </c>
    </row>
    <row r="14" spans="1:13" x14ac:dyDescent="0.2">
      <c r="A14" s="19">
        <f>IF(DAY(DATE(2026,6+1,0))&gt;=11,DATE(2026,6,11),"")</f>
        <v>46184</v>
      </c>
      <c r="B14" s="16"/>
      <c r="C14" s="16"/>
      <c r="D14" s="16"/>
      <c r="E14" s="12" t="str">
        <f t="shared" si="0"/>
        <v/>
      </c>
      <c r="F14" s="11"/>
      <c r="G14" s="11"/>
      <c r="H14" s="11"/>
      <c r="I14" s="12" t="str">
        <f t="shared" si="1"/>
        <v/>
      </c>
      <c r="J14" s="11"/>
      <c r="K14" s="11"/>
      <c r="L14" s="11"/>
      <c r="M14" s="12" t="str">
        <f t="shared" si="2"/>
        <v/>
      </c>
    </row>
    <row r="15" spans="1:13" x14ac:dyDescent="0.2">
      <c r="A15" s="19">
        <f>IF(DAY(DATE(2026,6+1,0))&gt;=12,DATE(2026,6,12),"")</f>
        <v>46185</v>
      </c>
      <c r="B15" s="16"/>
      <c r="C15" s="16"/>
      <c r="D15" s="16"/>
      <c r="E15" s="12" t="str">
        <f t="shared" si="0"/>
        <v/>
      </c>
      <c r="F15" s="11"/>
      <c r="G15" s="11"/>
      <c r="H15" s="11"/>
      <c r="I15" s="12" t="str">
        <f t="shared" si="1"/>
        <v/>
      </c>
      <c r="J15" s="11"/>
      <c r="K15" s="11"/>
      <c r="L15" s="11"/>
      <c r="M15" s="12" t="str">
        <f t="shared" si="2"/>
        <v/>
      </c>
    </row>
    <row r="16" spans="1:13" x14ac:dyDescent="0.2">
      <c r="A16" s="19">
        <f>IF(DAY(DATE(2026,6+1,0))&gt;=13,DATE(2026,6,13),"")</f>
        <v>46186</v>
      </c>
      <c r="B16" s="16"/>
      <c r="C16" s="16"/>
      <c r="D16" s="16"/>
      <c r="E16" s="12" t="str">
        <f t="shared" si="0"/>
        <v/>
      </c>
      <c r="F16" s="11"/>
      <c r="G16" s="11"/>
      <c r="H16" s="11"/>
      <c r="I16" s="12" t="str">
        <f t="shared" si="1"/>
        <v/>
      </c>
      <c r="J16" s="11"/>
      <c r="K16" s="11"/>
      <c r="L16" s="11"/>
      <c r="M16" s="12" t="str">
        <f t="shared" si="2"/>
        <v/>
      </c>
    </row>
    <row r="17" spans="1:13" x14ac:dyDescent="0.2">
      <c r="A17" s="19">
        <f>IF(DAY(DATE(2026,6+1,0))&gt;=14,DATE(2026,6,14),"")</f>
        <v>46187</v>
      </c>
      <c r="B17" s="16"/>
      <c r="C17" s="16"/>
      <c r="D17" s="16"/>
      <c r="E17" s="12" t="str">
        <f t="shared" si="0"/>
        <v/>
      </c>
      <c r="F17" s="11"/>
      <c r="G17" s="11"/>
      <c r="H17" s="11"/>
      <c r="I17" s="12" t="str">
        <f t="shared" si="1"/>
        <v/>
      </c>
      <c r="J17" s="11"/>
      <c r="K17" s="11"/>
      <c r="L17" s="11"/>
      <c r="M17" s="12" t="str">
        <f t="shared" si="2"/>
        <v/>
      </c>
    </row>
    <row r="18" spans="1:13" x14ac:dyDescent="0.2">
      <c r="A18" s="19">
        <f>IF(DAY(DATE(2026,6+1,0))&gt;=15,DATE(2026,6,15),"")</f>
        <v>46188</v>
      </c>
      <c r="B18" s="16"/>
      <c r="C18" s="16"/>
      <c r="D18" s="16"/>
      <c r="E18" s="12" t="str">
        <f t="shared" si="0"/>
        <v/>
      </c>
      <c r="F18" s="11"/>
      <c r="G18" s="11"/>
      <c r="H18" s="11"/>
      <c r="I18" s="12" t="str">
        <f t="shared" si="1"/>
        <v/>
      </c>
      <c r="J18" s="11"/>
      <c r="K18" s="11"/>
      <c r="L18" s="11"/>
      <c r="M18" s="12" t="str">
        <f t="shared" si="2"/>
        <v/>
      </c>
    </row>
    <row r="19" spans="1:13" x14ac:dyDescent="0.2">
      <c r="A19" s="19">
        <f>IF(DAY(DATE(2026,6+1,0))&gt;=16,DATE(2026,6,16),"")</f>
        <v>46189</v>
      </c>
      <c r="B19" s="16"/>
      <c r="C19" s="16"/>
      <c r="D19" s="16"/>
      <c r="E19" s="12" t="str">
        <f t="shared" si="0"/>
        <v/>
      </c>
      <c r="F19" s="11"/>
      <c r="G19" s="11"/>
      <c r="H19" s="11"/>
      <c r="I19" s="12" t="str">
        <f t="shared" si="1"/>
        <v/>
      </c>
      <c r="J19" s="11"/>
      <c r="K19" s="11"/>
      <c r="L19" s="11"/>
      <c r="M19" s="12" t="str">
        <f t="shared" si="2"/>
        <v/>
      </c>
    </row>
    <row r="20" spans="1:13" x14ac:dyDescent="0.2">
      <c r="A20" s="19">
        <f>IF(DAY(DATE(2026,6+1,0))&gt;=17,DATE(2026,6,17),"")</f>
        <v>46190</v>
      </c>
      <c r="B20" s="16"/>
      <c r="C20" s="16"/>
      <c r="D20" s="16"/>
      <c r="E20" s="12" t="str">
        <f t="shared" si="0"/>
        <v/>
      </c>
      <c r="F20" s="11"/>
      <c r="G20" s="11"/>
      <c r="H20" s="11"/>
      <c r="I20" s="12" t="str">
        <f t="shared" si="1"/>
        <v/>
      </c>
      <c r="J20" s="11"/>
      <c r="K20" s="11"/>
      <c r="L20" s="11"/>
      <c r="M20" s="12" t="str">
        <f t="shared" si="2"/>
        <v/>
      </c>
    </row>
    <row r="21" spans="1:13" x14ac:dyDescent="0.2">
      <c r="A21" s="19">
        <f>IF(DAY(DATE(2026,6+1,0))&gt;=18,DATE(2026,6,18),"")</f>
        <v>46191</v>
      </c>
      <c r="B21" s="16"/>
      <c r="C21" s="16"/>
      <c r="D21" s="16"/>
      <c r="E21" s="12" t="str">
        <f t="shared" si="0"/>
        <v/>
      </c>
      <c r="F21" s="11"/>
      <c r="G21" s="11"/>
      <c r="H21" s="11"/>
      <c r="I21" s="12" t="str">
        <f t="shared" si="1"/>
        <v/>
      </c>
      <c r="J21" s="11"/>
      <c r="K21" s="11"/>
      <c r="L21" s="11"/>
      <c r="M21" s="12" t="str">
        <f t="shared" si="2"/>
        <v/>
      </c>
    </row>
    <row r="22" spans="1:13" x14ac:dyDescent="0.2">
      <c r="A22" s="19">
        <f>IF(DAY(DATE(2026,6+1,0))&gt;=19,DATE(2026,6,19),"")</f>
        <v>46192</v>
      </c>
      <c r="B22" s="16"/>
      <c r="C22" s="16"/>
      <c r="D22" s="16"/>
      <c r="E22" s="12" t="str">
        <f t="shared" si="0"/>
        <v/>
      </c>
      <c r="F22" s="11"/>
      <c r="G22" s="11"/>
      <c r="H22" s="11"/>
      <c r="I22" s="12" t="str">
        <f t="shared" si="1"/>
        <v/>
      </c>
      <c r="J22" s="11"/>
      <c r="K22" s="11"/>
      <c r="L22" s="11"/>
      <c r="M22" s="12" t="str">
        <f t="shared" si="2"/>
        <v/>
      </c>
    </row>
    <row r="23" spans="1:13" x14ac:dyDescent="0.2">
      <c r="A23" s="19">
        <f>IF(DAY(DATE(2026,6+1,0))&gt;=20,DATE(2026,6,20),"")</f>
        <v>46193</v>
      </c>
      <c r="B23" s="16"/>
      <c r="C23" s="16"/>
      <c r="D23" s="16"/>
      <c r="E23" s="12" t="str">
        <f t="shared" si="0"/>
        <v/>
      </c>
      <c r="F23" s="11"/>
      <c r="G23" s="11"/>
      <c r="H23" s="11"/>
      <c r="I23" s="12" t="str">
        <f t="shared" si="1"/>
        <v/>
      </c>
      <c r="J23" s="11"/>
      <c r="K23" s="11"/>
      <c r="L23" s="11"/>
      <c r="M23" s="12" t="str">
        <f t="shared" si="2"/>
        <v/>
      </c>
    </row>
    <row r="24" spans="1:13" x14ac:dyDescent="0.2">
      <c r="A24" s="19">
        <f>IF(DAY(DATE(2026,6+1,0))&gt;=21,DATE(2026,6,21),"")</f>
        <v>46194</v>
      </c>
      <c r="B24" s="16"/>
      <c r="C24" s="16"/>
      <c r="D24" s="16"/>
      <c r="E24" s="12" t="str">
        <f t="shared" si="0"/>
        <v/>
      </c>
      <c r="F24" s="11"/>
      <c r="G24" s="11"/>
      <c r="H24" s="11"/>
      <c r="I24" s="12" t="str">
        <f t="shared" si="1"/>
        <v/>
      </c>
      <c r="J24" s="11"/>
      <c r="K24" s="11"/>
      <c r="L24" s="11"/>
      <c r="M24" s="12" t="str">
        <f t="shared" si="2"/>
        <v/>
      </c>
    </row>
    <row r="25" spans="1:13" x14ac:dyDescent="0.2">
      <c r="A25" s="19">
        <f>IF(DAY(DATE(2026,6+1,0))&gt;=22,DATE(2026,6,22),"")</f>
        <v>46195</v>
      </c>
      <c r="B25" s="16"/>
      <c r="C25" s="16"/>
      <c r="D25" s="16"/>
      <c r="E25" s="12" t="str">
        <f t="shared" si="0"/>
        <v/>
      </c>
      <c r="F25" s="11"/>
      <c r="G25" s="11"/>
      <c r="H25" s="11"/>
      <c r="I25" s="12" t="str">
        <f t="shared" si="1"/>
        <v/>
      </c>
      <c r="J25" s="11"/>
      <c r="K25" s="11"/>
      <c r="L25" s="11"/>
      <c r="M25" s="12" t="str">
        <f t="shared" si="2"/>
        <v/>
      </c>
    </row>
    <row r="26" spans="1:13" x14ac:dyDescent="0.2">
      <c r="A26" s="19">
        <f>IF(DAY(DATE(2026,6+1,0))&gt;=23,DATE(2026,6,23),"")</f>
        <v>46196</v>
      </c>
      <c r="B26" s="16"/>
      <c r="C26" s="16"/>
      <c r="D26" s="16"/>
      <c r="E26" s="12" t="str">
        <f t="shared" si="0"/>
        <v/>
      </c>
      <c r="F26" s="11"/>
      <c r="G26" s="11"/>
      <c r="H26" s="11"/>
      <c r="I26" s="12" t="str">
        <f t="shared" si="1"/>
        <v/>
      </c>
      <c r="J26" s="11"/>
      <c r="K26" s="11"/>
      <c r="L26" s="11"/>
      <c r="M26" s="12" t="str">
        <f t="shared" si="2"/>
        <v/>
      </c>
    </row>
    <row r="27" spans="1:13" x14ac:dyDescent="0.2">
      <c r="A27" s="19">
        <f>IF(DAY(DATE(2026,6+1,0))&gt;=24,DATE(2026,6,24),"")</f>
        <v>46197</v>
      </c>
      <c r="B27" s="16"/>
      <c r="C27" s="16"/>
      <c r="D27" s="16"/>
      <c r="E27" s="12" t="str">
        <f t="shared" si="0"/>
        <v/>
      </c>
      <c r="F27" s="11"/>
      <c r="G27" s="11"/>
      <c r="H27" s="11"/>
      <c r="I27" s="12" t="str">
        <f t="shared" si="1"/>
        <v/>
      </c>
      <c r="J27" s="11"/>
      <c r="K27" s="11"/>
      <c r="L27" s="11"/>
      <c r="M27" s="12" t="str">
        <f t="shared" si="2"/>
        <v/>
      </c>
    </row>
    <row r="28" spans="1:13" x14ac:dyDescent="0.2">
      <c r="A28" s="19">
        <f>IF(DAY(DATE(2026,6+1,0))&gt;=25,DATE(2026,6,25),"")</f>
        <v>46198</v>
      </c>
      <c r="B28" s="16"/>
      <c r="C28" s="16"/>
      <c r="D28" s="16"/>
      <c r="E28" s="12" t="str">
        <f t="shared" si="0"/>
        <v/>
      </c>
      <c r="F28" s="11"/>
      <c r="G28" s="11"/>
      <c r="H28" s="11"/>
      <c r="I28" s="12" t="str">
        <f t="shared" si="1"/>
        <v/>
      </c>
      <c r="J28" s="11"/>
      <c r="K28" s="11"/>
      <c r="L28" s="11"/>
      <c r="M28" s="12" t="str">
        <f t="shared" si="2"/>
        <v/>
      </c>
    </row>
    <row r="29" spans="1:13" x14ac:dyDescent="0.2">
      <c r="A29" s="19">
        <f>IF(DAY(DATE(2026,6+1,0))&gt;=26,DATE(2026,6,26),"")</f>
        <v>46199</v>
      </c>
      <c r="B29" s="16"/>
      <c r="C29" s="16"/>
      <c r="D29" s="16"/>
      <c r="E29" s="12" t="str">
        <f t="shared" si="0"/>
        <v/>
      </c>
      <c r="F29" s="11"/>
      <c r="G29" s="11"/>
      <c r="H29" s="11"/>
      <c r="I29" s="12" t="str">
        <f t="shared" si="1"/>
        <v/>
      </c>
      <c r="J29" s="11"/>
      <c r="K29" s="11"/>
      <c r="L29" s="11"/>
      <c r="M29" s="12" t="str">
        <f t="shared" si="2"/>
        <v/>
      </c>
    </row>
    <row r="30" spans="1:13" x14ac:dyDescent="0.2">
      <c r="A30" s="19">
        <f>IF(DAY(DATE(2026,6+1,0))&gt;=27,DATE(2026,6,27),"")</f>
        <v>46200</v>
      </c>
      <c r="B30" s="16"/>
      <c r="C30" s="16"/>
      <c r="D30" s="16"/>
      <c r="E30" s="12" t="str">
        <f t="shared" si="0"/>
        <v/>
      </c>
      <c r="F30" s="11"/>
      <c r="G30" s="11"/>
      <c r="H30" s="11"/>
      <c r="I30" s="12" t="str">
        <f t="shared" si="1"/>
        <v/>
      </c>
      <c r="J30" s="11"/>
      <c r="K30" s="11"/>
      <c r="L30" s="11"/>
      <c r="M30" s="12" t="str">
        <f t="shared" si="2"/>
        <v/>
      </c>
    </row>
    <row r="31" spans="1:13" x14ac:dyDescent="0.2">
      <c r="A31" s="19">
        <f>IF(DAY(DATE(2026,6+1,0))&gt;=28,DATE(2026,6,28),"")</f>
        <v>46201</v>
      </c>
      <c r="B31" s="16"/>
      <c r="C31" s="16"/>
      <c r="D31" s="16"/>
      <c r="E31" s="12" t="str">
        <f t="shared" si="0"/>
        <v/>
      </c>
      <c r="F31" s="11"/>
      <c r="G31" s="11"/>
      <c r="H31" s="11"/>
      <c r="I31" s="12" t="str">
        <f t="shared" si="1"/>
        <v/>
      </c>
      <c r="J31" s="11"/>
      <c r="K31" s="11"/>
      <c r="L31" s="11"/>
      <c r="M31" s="12" t="str">
        <f t="shared" si="2"/>
        <v/>
      </c>
    </row>
    <row r="32" spans="1:13" x14ac:dyDescent="0.2">
      <c r="A32" s="19">
        <f>IF(DAY(DATE(2026,6+1,0))&gt;=29,DATE(2026,6,29),"")</f>
        <v>46202</v>
      </c>
      <c r="B32" s="16"/>
      <c r="C32" s="16"/>
      <c r="D32" s="16"/>
      <c r="E32" s="12" t="str">
        <f t="shared" si="0"/>
        <v/>
      </c>
      <c r="F32" s="11"/>
      <c r="G32" s="11"/>
      <c r="H32" s="11"/>
      <c r="I32" s="12" t="str">
        <f t="shared" si="1"/>
        <v/>
      </c>
      <c r="J32" s="11"/>
      <c r="K32" s="11"/>
      <c r="L32" s="11"/>
      <c r="M32" s="12" t="str">
        <f t="shared" si="2"/>
        <v/>
      </c>
    </row>
    <row r="33" spans="1:13" x14ac:dyDescent="0.2">
      <c r="A33" s="19">
        <f>IF(DAY(DATE(2026,6+1,0))&gt;=30,DATE(2026,6,30),"")</f>
        <v>46203</v>
      </c>
      <c r="B33" s="16"/>
      <c r="C33" s="16"/>
      <c r="D33" s="16"/>
      <c r="E33" s="12" t="str">
        <f t="shared" si="0"/>
        <v/>
      </c>
      <c r="F33" s="11"/>
      <c r="G33" s="11"/>
      <c r="H33" s="11"/>
      <c r="I33" s="12" t="str">
        <f t="shared" si="1"/>
        <v/>
      </c>
      <c r="J33" s="11"/>
      <c r="K33" s="11"/>
      <c r="L33" s="11"/>
      <c r="M33" s="12" t="str">
        <f t="shared" si="2"/>
        <v/>
      </c>
    </row>
    <row r="34" spans="1:13" x14ac:dyDescent="0.2">
      <c r="A34" s="19" t="str">
        <f>IF(DAY(DATE(2026,6+1,0))&gt;=31,DATE(2026,6,31),"")</f>
        <v/>
      </c>
      <c r="B34" s="16"/>
      <c r="C34" s="16"/>
      <c r="D34" s="16"/>
      <c r="E34" s="12" t="str">
        <f t="shared" si="0"/>
        <v/>
      </c>
      <c r="F34" s="11"/>
      <c r="G34" s="11"/>
      <c r="H34" s="11"/>
      <c r="I34" s="12" t="str">
        <f t="shared" si="1"/>
        <v/>
      </c>
      <c r="J34" s="11"/>
      <c r="K34" s="11"/>
      <c r="L34" s="11"/>
      <c r="M34" s="12" t="str">
        <f t="shared" si="2"/>
        <v/>
      </c>
    </row>
  </sheetData>
  <sheetProtection password="CB1D" sheet="1"/>
  <conditionalFormatting sqref="B4:D34">
    <cfRule type="expression" dxfId="188" priority="23">
      <formula>$E4="Hypertonie Grad 3"</formula>
    </cfRule>
    <cfRule type="expression" dxfId="187" priority="22">
      <formula>$E4="Hypertonie Grad 2"</formula>
    </cfRule>
  </conditionalFormatting>
  <conditionalFormatting sqref="E4:E34">
    <cfRule type="expression" dxfId="186" priority="1">
      <formula>$E4="Zu niedrig"</formula>
    </cfRule>
    <cfRule type="expression" dxfId="185" priority="2">
      <formula>$E4="Optimal"</formula>
    </cfRule>
    <cfRule type="expression" dxfId="184" priority="3">
      <formula>$E4="Normal"</formula>
    </cfRule>
    <cfRule type="expression" dxfId="183" priority="4">
      <formula>$E4="Hoch-normal"</formula>
    </cfRule>
    <cfRule type="expression" dxfId="182" priority="5">
      <formula>$E4="Hypertonie Grad 1"</formula>
    </cfRule>
    <cfRule type="expression" dxfId="181" priority="6">
      <formula>$E4="Hypertonie Grad 2"</formula>
    </cfRule>
    <cfRule type="expression" dxfId="180" priority="7">
      <formula>$E4="Hypertonie Grad 3"</formula>
    </cfRule>
  </conditionalFormatting>
  <conditionalFormatting sqref="F4:H34">
    <cfRule type="expression" dxfId="179" priority="25">
      <formula>$I4="Hypertonie Grad 3"</formula>
    </cfRule>
    <cfRule type="expression" dxfId="178" priority="24">
      <formula>$I4="Hypertonie Grad 2"</formula>
    </cfRule>
  </conditionalFormatting>
  <conditionalFormatting sqref="I4:I34">
    <cfRule type="expression" dxfId="177" priority="14">
      <formula>$I4="Hypertonie Grad 3"</formula>
    </cfRule>
    <cfRule type="expression" dxfId="176" priority="13">
      <formula>$I4="Hypertonie Grad 2"</formula>
    </cfRule>
    <cfRule type="expression" dxfId="175" priority="12">
      <formula>$I4="Hypertonie Grad 1"</formula>
    </cfRule>
    <cfRule type="expression" dxfId="174" priority="11">
      <formula>$I4="Hoch-normal"</formula>
    </cfRule>
    <cfRule type="expression" dxfId="173" priority="10">
      <formula>$I4="Normal"</formula>
    </cfRule>
    <cfRule type="expression" dxfId="172" priority="9">
      <formula>$I4="Optimal"</formula>
    </cfRule>
    <cfRule type="expression" dxfId="171" priority="8">
      <formula>$I4="Zu niedrig"</formula>
    </cfRule>
  </conditionalFormatting>
  <conditionalFormatting sqref="J4:L34">
    <cfRule type="expression" dxfId="170" priority="26">
      <formula>$M4="Hypertonie Grad 2"</formula>
    </cfRule>
    <cfRule type="expression" dxfId="169" priority="27">
      <formula>$M4="Hypertonie Grad 3"</formula>
    </cfRule>
  </conditionalFormatting>
  <conditionalFormatting sqref="M4:M34">
    <cfRule type="expression" dxfId="168" priority="15">
      <formula>$M4="Zu niedrig"</formula>
    </cfRule>
    <cfRule type="expression" dxfId="167" priority="16">
      <formula>$M4="Optimal"</formula>
    </cfRule>
    <cfRule type="expression" dxfId="166" priority="17">
      <formula>$M4="Normal"</formula>
    </cfRule>
    <cfRule type="expression" dxfId="165" priority="18">
      <formula>$M4="Hoch-normal"</formula>
    </cfRule>
    <cfRule type="expression" dxfId="164" priority="19">
      <formula>$M4="Hypertonie Grad 1"</formula>
    </cfRule>
    <cfRule type="expression" dxfId="163" priority="20">
      <formula>$M4="Hypertonie Grad 2"</formula>
    </cfRule>
    <cfRule type="expression" dxfId="162" priority="21">
      <formula>$M4="Hypertonie Grad 3"</formula>
    </cfRule>
  </conditionalFormatting>
  <printOptions horizontalCentered="1"/>
  <pageMargins left="0.4" right="0.4" top="0.6" bottom="0.6" header="0.5" footer="0.5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4"/>
  <sheetViews>
    <sheetView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2" customWidth="1"/>
    <col min="2" max="2" width="9" customWidth="1"/>
    <col min="3" max="3" width="10" customWidth="1"/>
    <col min="4" max="4" width="8" customWidth="1"/>
    <col min="5" max="5" width="15" customWidth="1"/>
    <col min="6" max="6" width="16" customWidth="1"/>
    <col min="7" max="7" width="10" customWidth="1"/>
    <col min="8" max="8" width="8" customWidth="1"/>
    <col min="9" max="9" width="15" customWidth="1"/>
    <col min="10" max="10" width="9" customWidth="1"/>
    <col min="11" max="11" width="10" customWidth="1"/>
    <col min="12" max="12" width="8" customWidth="1"/>
    <col min="13" max="13" width="15" customWidth="1"/>
  </cols>
  <sheetData>
    <row r="1" spans="1:13" x14ac:dyDescent="0.2">
      <c r="A1" s="10" t="s">
        <v>56</v>
      </c>
      <c r="B1" s="11">
        <v>2026</v>
      </c>
      <c r="D1" s="10" t="s">
        <v>31</v>
      </c>
      <c r="E1" s="11">
        <v>7</v>
      </c>
    </row>
    <row r="2" spans="1:13" x14ac:dyDescent="0.2">
      <c r="B2" s="13" t="str">
        <f>IF(Jahresübersicht!A6="","",Jahresübersicht!A6)</f>
        <v/>
      </c>
      <c r="D2" s="13" t="str">
        <f>IF(Jahresübersicht!C6="","",Jahresübersicht!C6)</f>
        <v/>
      </c>
      <c r="F2" s="14" t="str">
        <f>IF(Jahresübersicht!E6="","",Jahresübersicht!E6)</f>
        <v/>
      </c>
      <c r="H2" s="18"/>
      <c r="I2" s="15" t="s">
        <v>57</v>
      </c>
    </row>
    <row r="3" spans="1:13" ht="16" x14ac:dyDescent="0.2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7" t="s">
        <v>63</v>
      </c>
      <c r="G3" s="17" t="s">
        <v>64</v>
      </c>
      <c r="H3" s="17" t="s">
        <v>65</v>
      </c>
      <c r="I3" s="1" t="s">
        <v>66</v>
      </c>
      <c r="J3" s="17" t="s">
        <v>67</v>
      </c>
      <c r="K3" s="17" t="s">
        <v>68</v>
      </c>
      <c r="L3" s="17" t="s">
        <v>69</v>
      </c>
      <c r="M3" s="1" t="s">
        <v>70</v>
      </c>
    </row>
    <row r="4" spans="1:13" x14ac:dyDescent="0.2">
      <c r="A4" s="19">
        <f>IF(DAY(DATE(2026,7+1,0))&gt;=1,DATE(2026,7,1),"")</f>
        <v>46204</v>
      </c>
      <c r="B4" s="16"/>
      <c r="C4" s="16"/>
      <c r="D4" s="16"/>
      <c r="E4" s="12" t="str">
        <f t="shared" ref="E4:E34" si="0">IF(OR(B4="",C4=""),"",IF(OR(B4&lt;90,C4&lt;60),"Zu niedrig",IF(AND(B4&lt;120,C4&lt;80),"Optimal",IF(AND(B4&lt;130,C4&lt;85),"Normal",IF(AND(B4&lt;140,C4&lt;90),"Hoch-normal",IF(AND(B4&lt;160,C4&lt;100),"Hypertonie Grad 1",IF(AND(B4&lt;180,C4&lt;110),"Hypertonie Grad 2","Hypertonie Grad 3")))))))</f>
        <v/>
      </c>
      <c r="F4" s="11"/>
      <c r="G4" s="11"/>
      <c r="H4" s="11"/>
      <c r="I4" s="12" t="str">
        <f t="shared" ref="I4:I34" si="1">IF(OR(F4="",G4=""),"",IF(OR(F4&lt;90,G4&lt;60),"Zu niedrig",IF(AND(F4&lt;120,G4&lt;80),"Optimal",IF(AND(F4&lt;130,G4&lt;85),"Normal",IF(AND(F4&lt;140,G4&lt;90),"Hoch-normal",IF(AND(F4&lt;160,G4&lt;100),"Hypertonie Grad 1",IF(AND(F4&lt;180,G4&lt;110),"Hypertonie Grad 2","Hypertonie Grad 3")))))))</f>
        <v/>
      </c>
      <c r="J4" s="11"/>
      <c r="K4" s="11"/>
      <c r="L4" s="11"/>
      <c r="M4" s="12" t="str">
        <f t="shared" ref="M4:M34" si="2">IF(OR(J4="",K4=""),"",IF(OR(J4&lt;90,K4&lt;60),"Zu niedrig",IF(AND(J4&lt;120,K4&lt;80),"Optimal",IF(AND(J4&lt;130,K4&lt;85),"Normal",IF(AND(J4&lt;140,K4&lt;90),"Hoch-normal",IF(AND(J4&lt;160,K4&lt;100),"Hypertonie Grad 1",IF(AND(J4&lt;180,K4&lt;110),"Hypertonie Grad 2","Hypertonie Grad 3")))))))</f>
        <v/>
      </c>
    </row>
    <row r="5" spans="1:13" x14ac:dyDescent="0.2">
      <c r="A5" s="19">
        <f>IF(DAY(DATE(2026,7+1,0))&gt;=2,DATE(2026,7,2),"")</f>
        <v>46205</v>
      </c>
      <c r="B5" s="16"/>
      <c r="C5" s="16"/>
      <c r="D5" s="16"/>
      <c r="E5" s="12" t="str">
        <f t="shared" si="0"/>
        <v/>
      </c>
      <c r="F5" s="11"/>
      <c r="G5" s="11"/>
      <c r="H5" s="11"/>
      <c r="I5" s="12" t="str">
        <f t="shared" si="1"/>
        <v/>
      </c>
      <c r="J5" s="11"/>
      <c r="K5" s="11"/>
      <c r="L5" s="11"/>
      <c r="M5" s="12" t="str">
        <f t="shared" si="2"/>
        <v/>
      </c>
    </row>
    <row r="6" spans="1:13" x14ac:dyDescent="0.2">
      <c r="A6" s="19">
        <f>IF(DAY(DATE(2026,7+1,0))&gt;=3,DATE(2026,7,3),"")</f>
        <v>46206</v>
      </c>
      <c r="B6" s="16"/>
      <c r="C6" s="16"/>
      <c r="D6" s="16"/>
      <c r="E6" s="12" t="str">
        <f t="shared" si="0"/>
        <v/>
      </c>
      <c r="F6" s="11"/>
      <c r="G6" s="11"/>
      <c r="H6" s="11"/>
      <c r="I6" s="12" t="str">
        <f t="shared" si="1"/>
        <v/>
      </c>
      <c r="J6" s="11"/>
      <c r="K6" s="11"/>
      <c r="L6" s="11"/>
      <c r="M6" s="12" t="str">
        <f t="shared" si="2"/>
        <v/>
      </c>
    </row>
    <row r="7" spans="1:13" x14ac:dyDescent="0.2">
      <c r="A7" s="19">
        <f>IF(DAY(DATE(2026,7+1,0))&gt;=4,DATE(2026,7,4),"")</f>
        <v>46207</v>
      </c>
      <c r="B7" s="16"/>
      <c r="C7" s="16"/>
      <c r="D7" s="16"/>
      <c r="E7" s="12" t="str">
        <f t="shared" si="0"/>
        <v/>
      </c>
      <c r="F7" s="11"/>
      <c r="G7" s="11"/>
      <c r="H7" s="11"/>
      <c r="I7" s="12" t="str">
        <f t="shared" si="1"/>
        <v/>
      </c>
      <c r="J7" s="11"/>
      <c r="K7" s="11"/>
      <c r="L7" s="11"/>
      <c r="M7" s="12" t="str">
        <f t="shared" si="2"/>
        <v/>
      </c>
    </row>
    <row r="8" spans="1:13" x14ac:dyDescent="0.2">
      <c r="A8" s="19">
        <f>IF(DAY(DATE(2026,7+1,0))&gt;=5,DATE(2026,7,5),"")</f>
        <v>46208</v>
      </c>
      <c r="B8" s="16"/>
      <c r="C8" s="16"/>
      <c r="D8" s="16"/>
      <c r="E8" s="12" t="str">
        <f t="shared" si="0"/>
        <v/>
      </c>
      <c r="F8" s="11"/>
      <c r="G8" s="11"/>
      <c r="H8" s="11"/>
      <c r="I8" s="12" t="str">
        <f t="shared" si="1"/>
        <v/>
      </c>
      <c r="J8" s="11"/>
      <c r="K8" s="11"/>
      <c r="L8" s="11"/>
      <c r="M8" s="12" t="str">
        <f t="shared" si="2"/>
        <v/>
      </c>
    </row>
    <row r="9" spans="1:13" x14ac:dyDescent="0.2">
      <c r="A9" s="19">
        <f>IF(DAY(DATE(2026,7+1,0))&gt;=6,DATE(2026,7,6),"")</f>
        <v>46209</v>
      </c>
      <c r="B9" s="16"/>
      <c r="C9" s="16"/>
      <c r="D9" s="16"/>
      <c r="E9" s="12" t="str">
        <f t="shared" si="0"/>
        <v/>
      </c>
      <c r="F9" s="11"/>
      <c r="G9" s="11"/>
      <c r="H9" s="11"/>
      <c r="I9" s="12" t="str">
        <f t="shared" si="1"/>
        <v/>
      </c>
      <c r="J9" s="11"/>
      <c r="K9" s="11"/>
      <c r="L9" s="11"/>
      <c r="M9" s="12" t="str">
        <f t="shared" si="2"/>
        <v/>
      </c>
    </row>
    <row r="10" spans="1:13" x14ac:dyDescent="0.2">
      <c r="A10" s="19">
        <f>IF(DAY(DATE(2026,7+1,0))&gt;=7,DATE(2026,7,7),"")</f>
        <v>46210</v>
      </c>
      <c r="B10" s="16"/>
      <c r="C10" s="16"/>
      <c r="D10" s="16"/>
      <c r="E10" s="12" t="str">
        <f t="shared" si="0"/>
        <v/>
      </c>
      <c r="F10" s="11"/>
      <c r="G10" s="11"/>
      <c r="H10" s="11"/>
      <c r="I10" s="12" t="str">
        <f t="shared" si="1"/>
        <v/>
      </c>
      <c r="J10" s="11"/>
      <c r="K10" s="11"/>
      <c r="L10" s="11"/>
      <c r="M10" s="12" t="str">
        <f t="shared" si="2"/>
        <v/>
      </c>
    </row>
    <row r="11" spans="1:13" x14ac:dyDescent="0.2">
      <c r="A11" s="19">
        <f>IF(DAY(DATE(2026,7+1,0))&gt;=8,DATE(2026,7,8),"")</f>
        <v>46211</v>
      </c>
      <c r="B11" s="16"/>
      <c r="C11" s="16"/>
      <c r="D11" s="16"/>
      <c r="E11" s="12" t="str">
        <f t="shared" si="0"/>
        <v/>
      </c>
      <c r="F11" s="11"/>
      <c r="G11" s="11"/>
      <c r="H11" s="11"/>
      <c r="I11" s="12" t="str">
        <f t="shared" si="1"/>
        <v/>
      </c>
      <c r="J11" s="11"/>
      <c r="K11" s="11"/>
      <c r="L11" s="11"/>
      <c r="M11" s="12" t="str">
        <f t="shared" si="2"/>
        <v/>
      </c>
    </row>
    <row r="12" spans="1:13" x14ac:dyDescent="0.2">
      <c r="A12" s="19">
        <f>IF(DAY(DATE(2026,7+1,0))&gt;=9,DATE(2026,7,9),"")</f>
        <v>46212</v>
      </c>
      <c r="B12" s="16"/>
      <c r="C12" s="16"/>
      <c r="D12" s="16"/>
      <c r="E12" s="12" t="str">
        <f t="shared" si="0"/>
        <v/>
      </c>
      <c r="F12" s="11"/>
      <c r="G12" s="11"/>
      <c r="H12" s="11"/>
      <c r="I12" s="12" t="str">
        <f t="shared" si="1"/>
        <v/>
      </c>
      <c r="J12" s="11"/>
      <c r="K12" s="11"/>
      <c r="L12" s="11"/>
      <c r="M12" s="12" t="str">
        <f t="shared" si="2"/>
        <v/>
      </c>
    </row>
    <row r="13" spans="1:13" x14ac:dyDescent="0.2">
      <c r="A13" s="19">
        <f>IF(DAY(DATE(2026,7+1,0))&gt;=10,DATE(2026,7,10),"")</f>
        <v>46213</v>
      </c>
      <c r="B13" s="16"/>
      <c r="C13" s="16"/>
      <c r="D13" s="16"/>
      <c r="E13" s="12" t="str">
        <f t="shared" si="0"/>
        <v/>
      </c>
      <c r="F13" s="11"/>
      <c r="G13" s="11"/>
      <c r="H13" s="11"/>
      <c r="I13" s="12" t="str">
        <f t="shared" si="1"/>
        <v/>
      </c>
      <c r="J13" s="11"/>
      <c r="K13" s="11"/>
      <c r="L13" s="11"/>
      <c r="M13" s="12" t="str">
        <f t="shared" si="2"/>
        <v/>
      </c>
    </row>
    <row r="14" spans="1:13" x14ac:dyDescent="0.2">
      <c r="A14" s="19">
        <f>IF(DAY(DATE(2026,7+1,0))&gt;=11,DATE(2026,7,11),"")</f>
        <v>46214</v>
      </c>
      <c r="B14" s="16"/>
      <c r="C14" s="16"/>
      <c r="D14" s="16"/>
      <c r="E14" s="12" t="str">
        <f t="shared" si="0"/>
        <v/>
      </c>
      <c r="F14" s="11"/>
      <c r="G14" s="11"/>
      <c r="H14" s="11"/>
      <c r="I14" s="12" t="str">
        <f t="shared" si="1"/>
        <v/>
      </c>
      <c r="J14" s="11"/>
      <c r="K14" s="11"/>
      <c r="L14" s="11"/>
      <c r="M14" s="12" t="str">
        <f t="shared" si="2"/>
        <v/>
      </c>
    </row>
    <row r="15" spans="1:13" x14ac:dyDescent="0.2">
      <c r="A15" s="19">
        <f>IF(DAY(DATE(2026,7+1,0))&gt;=12,DATE(2026,7,12),"")</f>
        <v>46215</v>
      </c>
      <c r="B15" s="16"/>
      <c r="C15" s="16"/>
      <c r="D15" s="16"/>
      <c r="E15" s="12" t="str">
        <f t="shared" si="0"/>
        <v/>
      </c>
      <c r="F15" s="11"/>
      <c r="G15" s="11"/>
      <c r="H15" s="11"/>
      <c r="I15" s="12" t="str">
        <f t="shared" si="1"/>
        <v/>
      </c>
      <c r="J15" s="11"/>
      <c r="K15" s="11"/>
      <c r="L15" s="11"/>
      <c r="M15" s="12" t="str">
        <f t="shared" si="2"/>
        <v/>
      </c>
    </row>
    <row r="16" spans="1:13" x14ac:dyDescent="0.2">
      <c r="A16" s="19">
        <f>IF(DAY(DATE(2026,7+1,0))&gt;=13,DATE(2026,7,13),"")</f>
        <v>46216</v>
      </c>
      <c r="B16" s="16"/>
      <c r="C16" s="16"/>
      <c r="D16" s="16"/>
      <c r="E16" s="12" t="str">
        <f t="shared" si="0"/>
        <v/>
      </c>
      <c r="F16" s="11"/>
      <c r="G16" s="11"/>
      <c r="H16" s="11"/>
      <c r="I16" s="12" t="str">
        <f t="shared" si="1"/>
        <v/>
      </c>
      <c r="J16" s="11"/>
      <c r="K16" s="11"/>
      <c r="L16" s="11"/>
      <c r="M16" s="12" t="str">
        <f t="shared" si="2"/>
        <v/>
      </c>
    </row>
    <row r="17" spans="1:13" x14ac:dyDescent="0.2">
      <c r="A17" s="19">
        <f>IF(DAY(DATE(2026,7+1,0))&gt;=14,DATE(2026,7,14),"")</f>
        <v>46217</v>
      </c>
      <c r="B17" s="16"/>
      <c r="C17" s="16"/>
      <c r="D17" s="16"/>
      <c r="E17" s="12" t="str">
        <f t="shared" si="0"/>
        <v/>
      </c>
      <c r="F17" s="11"/>
      <c r="G17" s="11"/>
      <c r="H17" s="11"/>
      <c r="I17" s="12" t="str">
        <f t="shared" si="1"/>
        <v/>
      </c>
      <c r="J17" s="11"/>
      <c r="K17" s="11"/>
      <c r="L17" s="11"/>
      <c r="M17" s="12" t="str">
        <f t="shared" si="2"/>
        <v/>
      </c>
    </row>
    <row r="18" spans="1:13" x14ac:dyDescent="0.2">
      <c r="A18" s="19">
        <f>IF(DAY(DATE(2026,7+1,0))&gt;=15,DATE(2026,7,15),"")</f>
        <v>46218</v>
      </c>
      <c r="B18" s="16"/>
      <c r="C18" s="16"/>
      <c r="D18" s="16"/>
      <c r="E18" s="12" t="str">
        <f t="shared" si="0"/>
        <v/>
      </c>
      <c r="F18" s="11"/>
      <c r="G18" s="11"/>
      <c r="H18" s="11"/>
      <c r="I18" s="12" t="str">
        <f t="shared" si="1"/>
        <v/>
      </c>
      <c r="J18" s="11"/>
      <c r="K18" s="11"/>
      <c r="L18" s="11"/>
      <c r="M18" s="12" t="str">
        <f t="shared" si="2"/>
        <v/>
      </c>
    </row>
    <row r="19" spans="1:13" x14ac:dyDescent="0.2">
      <c r="A19" s="19">
        <f>IF(DAY(DATE(2026,7+1,0))&gt;=16,DATE(2026,7,16),"")</f>
        <v>46219</v>
      </c>
      <c r="B19" s="16"/>
      <c r="C19" s="16"/>
      <c r="D19" s="16"/>
      <c r="E19" s="12" t="str">
        <f t="shared" si="0"/>
        <v/>
      </c>
      <c r="F19" s="11"/>
      <c r="G19" s="11"/>
      <c r="H19" s="11"/>
      <c r="I19" s="12" t="str">
        <f t="shared" si="1"/>
        <v/>
      </c>
      <c r="J19" s="11"/>
      <c r="K19" s="11"/>
      <c r="L19" s="11"/>
      <c r="M19" s="12" t="str">
        <f t="shared" si="2"/>
        <v/>
      </c>
    </row>
    <row r="20" spans="1:13" x14ac:dyDescent="0.2">
      <c r="A20" s="19">
        <f>IF(DAY(DATE(2026,7+1,0))&gt;=17,DATE(2026,7,17),"")</f>
        <v>46220</v>
      </c>
      <c r="B20" s="16"/>
      <c r="C20" s="16"/>
      <c r="D20" s="16"/>
      <c r="E20" s="12" t="str">
        <f t="shared" si="0"/>
        <v/>
      </c>
      <c r="F20" s="11"/>
      <c r="G20" s="11"/>
      <c r="H20" s="11"/>
      <c r="I20" s="12" t="str">
        <f t="shared" si="1"/>
        <v/>
      </c>
      <c r="J20" s="11"/>
      <c r="K20" s="11"/>
      <c r="L20" s="11"/>
      <c r="M20" s="12" t="str">
        <f t="shared" si="2"/>
        <v/>
      </c>
    </row>
    <row r="21" spans="1:13" x14ac:dyDescent="0.2">
      <c r="A21" s="19">
        <f>IF(DAY(DATE(2026,7+1,0))&gt;=18,DATE(2026,7,18),"")</f>
        <v>46221</v>
      </c>
      <c r="B21" s="16"/>
      <c r="C21" s="16"/>
      <c r="D21" s="16"/>
      <c r="E21" s="12" t="str">
        <f t="shared" si="0"/>
        <v/>
      </c>
      <c r="F21" s="11"/>
      <c r="G21" s="11"/>
      <c r="H21" s="11"/>
      <c r="I21" s="12" t="str">
        <f t="shared" si="1"/>
        <v/>
      </c>
      <c r="J21" s="11"/>
      <c r="K21" s="11"/>
      <c r="L21" s="11"/>
      <c r="M21" s="12" t="str">
        <f t="shared" si="2"/>
        <v/>
      </c>
    </row>
    <row r="22" spans="1:13" x14ac:dyDescent="0.2">
      <c r="A22" s="19">
        <f>IF(DAY(DATE(2026,7+1,0))&gt;=19,DATE(2026,7,19),"")</f>
        <v>46222</v>
      </c>
      <c r="B22" s="16"/>
      <c r="C22" s="16"/>
      <c r="D22" s="16"/>
      <c r="E22" s="12" t="str">
        <f t="shared" si="0"/>
        <v/>
      </c>
      <c r="F22" s="11"/>
      <c r="G22" s="11"/>
      <c r="H22" s="11"/>
      <c r="I22" s="12" t="str">
        <f t="shared" si="1"/>
        <v/>
      </c>
      <c r="J22" s="11"/>
      <c r="K22" s="11"/>
      <c r="L22" s="11"/>
      <c r="M22" s="12" t="str">
        <f t="shared" si="2"/>
        <v/>
      </c>
    </row>
    <row r="23" spans="1:13" x14ac:dyDescent="0.2">
      <c r="A23" s="19">
        <f>IF(DAY(DATE(2026,7+1,0))&gt;=20,DATE(2026,7,20),"")</f>
        <v>46223</v>
      </c>
      <c r="B23" s="16"/>
      <c r="C23" s="16"/>
      <c r="D23" s="16"/>
      <c r="E23" s="12" t="str">
        <f t="shared" si="0"/>
        <v/>
      </c>
      <c r="F23" s="11"/>
      <c r="G23" s="11"/>
      <c r="H23" s="11"/>
      <c r="I23" s="12" t="str">
        <f t="shared" si="1"/>
        <v/>
      </c>
      <c r="J23" s="11"/>
      <c r="K23" s="11"/>
      <c r="L23" s="11"/>
      <c r="M23" s="12" t="str">
        <f t="shared" si="2"/>
        <v/>
      </c>
    </row>
    <row r="24" spans="1:13" x14ac:dyDescent="0.2">
      <c r="A24" s="19">
        <f>IF(DAY(DATE(2026,7+1,0))&gt;=21,DATE(2026,7,21),"")</f>
        <v>46224</v>
      </c>
      <c r="B24" s="16"/>
      <c r="C24" s="16"/>
      <c r="D24" s="16"/>
      <c r="E24" s="12" t="str">
        <f t="shared" si="0"/>
        <v/>
      </c>
      <c r="F24" s="11"/>
      <c r="G24" s="11"/>
      <c r="H24" s="11"/>
      <c r="I24" s="12" t="str">
        <f t="shared" si="1"/>
        <v/>
      </c>
      <c r="J24" s="11"/>
      <c r="K24" s="11"/>
      <c r="L24" s="11"/>
      <c r="M24" s="12" t="str">
        <f t="shared" si="2"/>
        <v/>
      </c>
    </row>
    <row r="25" spans="1:13" x14ac:dyDescent="0.2">
      <c r="A25" s="19">
        <f>IF(DAY(DATE(2026,7+1,0))&gt;=22,DATE(2026,7,22),"")</f>
        <v>46225</v>
      </c>
      <c r="B25" s="16"/>
      <c r="C25" s="16"/>
      <c r="D25" s="16"/>
      <c r="E25" s="12" t="str">
        <f t="shared" si="0"/>
        <v/>
      </c>
      <c r="F25" s="11"/>
      <c r="G25" s="11"/>
      <c r="H25" s="11"/>
      <c r="I25" s="12" t="str">
        <f t="shared" si="1"/>
        <v/>
      </c>
      <c r="J25" s="11"/>
      <c r="K25" s="11"/>
      <c r="L25" s="11"/>
      <c r="M25" s="12" t="str">
        <f t="shared" si="2"/>
        <v/>
      </c>
    </row>
    <row r="26" spans="1:13" x14ac:dyDescent="0.2">
      <c r="A26" s="19">
        <f>IF(DAY(DATE(2026,7+1,0))&gt;=23,DATE(2026,7,23),"")</f>
        <v>46226</v>
      </c>
      <c r="B26" s="16"/>
      <c r="C26" s="16"/>
      <c r="D26" s="16"/>
      <c r="E26" s="12" t="str">
        <f t="shared" si="0"/>
        <v/>
      </c>
      <c r="F26" s="11"/>
      <c r="G26" s="11"/>
      <c r="H26" s="11"/>
      <c r="I26" s="12" t="str">
        <f t="shared" si="1"/>
        <v/>
      </c>
      <c r="J26" s="11"/>
      <c r="K26" s="11"/>
      <c r="L26" s="11"/>
      <c r="M26" s="12" t="str">
        <f t="shared" si="2"/>
        <v/>
      </c>
    </row>
    <row r="27" spans="1:13" x14ac:dyDescent="0.2">
      <c r="A27" s="19">
        <f>IF(DAY(DATE(2026,7+1,0))&gt;=24,DATE(2026,7,24),"")</f>
        <v>46227</v>
      </c>
      <c r="B27" s="16"/>
      <c r="C27" s="16"/>
      <c r="D27" s="16"/>
      <c r="E27" s="12" t="str">
        <f t="shared" si="0"/>
        <v/>
      </c>
      <c r="F27" s="11"/>
      <c r="G27" s="11"/>
      <c r="H27" s="11"/>
      <c r="I27" s="12" t="str">
        <f t="shared" si="1"/>
        <v/>
      </c>
      <c r="J27" s="11"/>
      <c r="K27" s="11"/>
      <c r="L27" s="11"/>
      <c r="M27" s="12" t="str">
        <f t="shared" si="2"/>
        <v/>
      </c>
    </row>
    <row r="28" spans="1:13" x14ac:dyDescent="0.2">
      <c r="A28" s="19">
        <f>IF(DAY(DATE(2026,7+1,0))&gt;=25,DATE(2026,7,25),"")</f>
        <v>46228</v>
      </c>
      <c r="B28" s="16"/>
      <c r="C28" s="16"/>
      <c r="D28" s="16"/>
      <c r="E28" s="12" t="str">
        <f t="shared" si="0"/>
        <v/>
      </c>
      <c r="F28" s="11"/>
      <c r="G28" s="11"/>
      <c r="H28" s="11"/>
      <c r="I28" s="12" t="str">
        <f t="shared" si="1"/>
        <v/>
      </c>
      <c r="J28" s="11"/>
      <c r="K28" s="11"/>
      <c r="L28" s="11"/>
      <c r="M28" s="12" t="str">
        <f t="shared" si="2"/>
        <v/>
      </c>
    </row>
    <row r="29" spans="1:13" x14ac:dyDescent="0.2">
      <c r="A29" s="19">
        <f>IF(DAY(DATE(2026,7+1,0))&gt;=26,DATE(2026,7,26),"")</f>
        <v>46229</v>
      </c>
      <c r="B29" s="16"/>
      <c r="C29" s="16"/>
      <c r="D29" s="16"/>
      <c r="E29" s="12" t="str">
        <f t="shared" si="0"/>
        <v/>
      </c>
      <c r="F29" s="11"/>
      <c r="G29" s="11"/>
      <c r="H29" s="11"/>
      <c r="I29" s="12" t="str">
        <f t="shared" si="1"/>
        <v/>
      </c>
      <c r="J29" s="11"/>
      <c r="K29" s="11"/>
      <c r="L29" s="11"/>
      <c r="M29" s="12" t="str">
        <f t="shared" si="2"/>
        <v/>
      </c>
    </row>
    <row r="30" spans="1:13" x14ac:dyDescent="0.2">
      <c r="A30" s="19">
        <f>IF(DAY(DATE(2026,7+1,0))&gt;=27,DATE(2026,7,27),"")</f>
        <v>46230</v>
      </c>
      <c r="B30" s="16"/>
      <c r="C30" s="16"/>
      <c r="D30" s="16"/>
      <c r="E30" s="12" t="str">
        <f t="shared" si="0"/>
        <v/>
      </c>
      <c r="F30" s="11"/>
      <c r="G30" s="11"/>
      <c r="H30" s="11"/>
      <c r="I30" s="12" t="str">
        <f t="shared" si="1"/>
        <v/>
      </c>
      <c r="J30" s="11"/>
      <c r="K30" s="11"/>
      <c r="L30" s="11"/>
      <c r="M30" s="12" t="str">
        <f t="shared" si="2"/>
        <v/>
      </c>
    </row>
    <row r="31" spans="1:13" x14ac:dyDescent="0.2">
      <c r="A31" s="19">
        <f>IF(DAY(DATE(2026,7+1,0))&gt;=28,DATE(2026,7,28),"")</f>
        <v>46231</v>
      </c>
      <c r="B31" s="16"/>
      <c r="C31" s="16"/>
      <c r="D31" s="16"/>
      <c r="E31" s="12" t="str">
        <f t="shared" si="0"/>
        <v/>
      </c>
      <c r="F31" s="11"/>
      <c r="G31" s="11"/>
      <c r="H31" s="11"/>
      <c r="I31" s="12" t="str">
        <f t="shared" si="1"/>
        <v/>
      </c>
      <c r="J31" s="11"/>
      <c r="K31" s="11"/>
      <c r="L31" s="11"/>
      <c r="M31" s="12" t="str">
        <f t="shared" si="2"/>
        <v/>
      </c>
    </row>
    <row r="32" spans="1:13" x14ac:dyDescent="0.2">
      <c r="A32" s="19">
        <f>IF(DAY(DATE(2026,7+1,0))&gt;=29,DATE(2026,7,29),"")</f>
        <v>46232</v>
      </c>
      <c r="B32" s="16"/>
      <c r="C32" s="16"/>
      <c r="D32" s="16"/>
      <c r="E32" s="12" t="str">
        <f t="shared" si="0"/>
        <v/>
      </c>
      <c r="F32" s="11"/>
      <c r="G32" s="11"/>
      <c r="H32" s="11"/>
      <c r="I32" s="12" t="str">
        <f t="shared" si="1"/>
        <v/>
      </c>
      <c r="J32" s="11"/>
      <c r="K32" s="11"/>
      <c r="L32" s="11"/>
      <c r="M32" s="12" t="str">
        <f t="shared" si="2"/>
        <v/>
      </c>
    </row>
    <row r="33" spans="1:13" x14ac:dyDescent="0.2">
      <c r="A33" s="19">
        <f>IF(DAY(DATE(2026,7+1,0))&gt;=30,DATE(2026,7,30),"")</f>
        <v>46233</v>
      </c>
      <c r="B33" s="16"/>
      <c r="C33" s="16"/>
      <c r="D33" s="16"/>
      <c r="E33" s="12" t="str">
        <f t="shared" si="0"/>
        <v/>
      </c>
      <c r="F33" s="11"/>
      <c r="G33" s="11"/>
      <c r="H33" s="11"/>
      <c r="I33" s="12" t="str">
        <f t="shared" si="1"/>
        <v/>
      </c>
      <c r="J33" s="11"/>
      <c r="K33" s="11"/>
      <c r="L33" s="11"/>
      <c r="M33" s="12" t="str">
        <f t="shared" si="2"/>
        <v/>
      </c>
    </row>
    <row r="34" spans="1:13" x14ac:dyDescent="0.2">
      <c r="A34" s="19">
        <f>IF(DAY(DATE(2026,7+1,0))&gt;=31,DATE(2026,7,31),"")</f>
        <v>46234</v>
      </c>
      <c r="B34" s="16"/>
      <c r="C34" s="16"/>
      <c r="D34" s="16"/>
      <c r="E34" s="12" t="str">
        <f t="shared" si="0"/>
        <v/>
      </c>
      <c r="F34" s="11"/>
      <c r="G34" s="11"/>
      <c r="H34" s="11"/>
      <c r="I34" s="12" t="str">
        <f t="shared" si="1"/>
        <v/>
      </c>
      <c r="J34" s="11"/>
      <c r="K34" s="11"/>
      <c r="L34" s="11"/>
      <c r="M34" s="12" t="str">
        <f t="shared" si="2"/>
        <v/>
      </c>
    </row>
  </sheetData>
  <sheetProtection password="CB1D" sheet="1"/>
  <conditionalFormatting sqref="B4:D34">
    <cfRule type="expression" dxfId="161" priority="23">
      <formula>$E4="Hypertonie Grad 3"</formula>
    </cfRule>
    <cfRule type="expression" dxfId="160" priority="22">
      <formula>$E4="Hypertonie Grad 2"</formula>
    </cfRule>
  </conditionalFormatting>
  <conditionalFormatting sqref="E4:E34">
    <cfRule type="expression" dxfId="159" priority="1">
      <formula>$E4="Zu niedrig"</formula>
    </cfRule>
    <cfRule type="expression" dxfId="158" priority="2">
      <formula>$E4="Optimal"</formula>
    </cfRule>
    <cfRule type="expression" dxfId="157" priority="3">
      <formula>$E4="Normal"</formula>
    </cfRule>
    <cfRule type="expression" dxfId="156" priority="4">
      <formula>$E4="Hoch-normal"</formula>
    </cfRule>
    <cfRule type="expression" dxfId="155" priority="5">
      <formula>$E4="Hypertonie Grad 1"</formula>
    </cfRule>
    <cfRule type="expression" dxfId="154" priority="6">
      <formula>$E4="Hypertonie Grad 2"</formula>
    </cfRule>
    <cfRule type="expression" dxfId="153" priority="7">
      <formula>$E4="Hypertonie Grad 3"</formula>
    </cfRule>
  </conditionalFormatting>
  <conditionalFormatting sqref="F4:H34">
    <cfRule type="expression" dxfId="152" priority="25">
      <formula>$I4="Hypertonie Grad 3"</formula>
    </cfRule>
    <cfRule type="expression" dxfId="151" priority="24">
      <formula>$I4="Hypertonie Grad 2"</formula>
    </cfRule>
  </conditionalFormatting>
  <conditionalFormatting sqref="I4:I34">
    <cfRule type="expression" dxfId="150" priority="14">
      <formula>$I4="Hypertonie Grad 3"</formula>
    </cfRule>
    <cfRule type="expression" dxfId="149" priority="13">
      <formula>$I4="Hypertonie Grad 2"</formula>
    </cfRule>
    <cfRule type="expression" dxfId="148" priority="12">
      <formula>$I4="Hypertonie Grad 1"</formula>
    </cfRule>
    <cfRule type="expression" dxfId="147" priority="11">
      <formula>$I4="Hoch-normal"</formula>
    </cfRule>
    <cfRule type="expression" dxfId="146" priority="10">
      <formula>$I4="Normal"</formula>
    </cfRule>
    <cfRule type="expression" dxfId="145" priority="9">
      <formula>$I4="Optimal"</formula>
    </cfRule>
    <cfRule type="expression" dxfId="144" priority="8">
      <formula>$I4="Zu niedrig"</formula>
    </cfRule>
  </conditionalFormatting>
  <conditionalFormatting sqref="J4:L34">
    <cfRule type="expression" dxfId="143" priority="26">
      <formula>$M4="Hypertonie Grad 2"</formula>
    </cfRule>
    <cfRule type="expression" dxfId="142" priority="27">
      <formula>$M4="Hypertonie Grad 3"</formula>
    </cfRule>
  </conditionalFormatting>
  <conditionalFormatting sqref="M4:M34">
    <cfRule type="expression" dxfId="141" priority="15">
      <formula>$M4="Zu niedrig"</formula>
    </cfRule>
    <cfRule type="expression" dxfId="140" priority="16">
      <formula>$M4="Optimal"</formula>
    </cfRule>
    <cfRule type="expression" dxfId="139" priority="17">
      <formula>$M4="Normal"</formula>
    </cfRule>
    <cfRule type="expression" dxfId="138" priority="18">
      <formula>$M4="Hoch-normal"</formula>
    </cfRule>
    <cfRule type="expression" dxfId="137" priority="19">
      <formula>$M4="Hypertonie Grad 1"</formula>
    </cfRule>
    <cfRule type="expression" dxfId="136" priority="20">
      <formula>$M4="Hypertonie Grad 2"</formula>
    </cfRule>
    <cfRule type="expression" dxfId="135" priority="21">
      <formula>$M4="Hypertonie Grad 3"</formula>
    </cfRule>
  </conditionalFormatting>
  <printOptions horizontalCentered="1"/>
  <pageMargins left="0.4" right="0.4" top="0.6" bottom="0.6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25</vt:i4>
      </vt:variant>
    </vt:vector>
  </HeadingPairs>
  <TitlesOfParts>
    <vt:vector size="39" baseType="lpstr">
      <vt:lpstr>Referenzwerte</vt:lpstr>
      <vt:lpstr>Jahresübersicht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  <vt:lpstr>April!Druckbereich</vt:lpstr>
      <vt:lpstr>August!Druckbereich</vt:lpstr>
      <vt:lpstr>Dezember!Druckbereich</vt:lpstr>
      <vt:lpstr>Februar!Druckbereich</vt:lpstr>
      <vt:lpstr>Januar!Druckbereich</vt:lpstr>
      <vt:lpstr>Juli!Druckbereich</vt:lpstr>
      <vt:lpstr>Juni!Druckbereich</vt:lpstr>
      <vt:lpstr>Mai!Druckbereich</vt:lpstr>
      <vt:lpstr>März!Druckbereich</vt:lpstr>
      <vt:lpstr>November!Druckbereich</vt:lpstr>
      <vt:lpstr>Oktober!Druckbereich</vt:lpstr>
      <vt:lpstr>September!Druckbereich</vt:lpstr>
      <vt:lpstr>April!Drucktitel</vt:lpstr>
      <vt:lpstr>August!Drucktitel</vt:lpstr>
      <vt:lpstr>Dezember!Drucktitel</vt:lpstr>
      <vt:lpstr>Februar!Drucktitel</vt:lpstr>
      <vt:lpstr>Jahresübersicht!Drucktitel</vt:lpstr>
      <vt:lpstr>Januar!Drucktitel</vt:lpstr>
      <vt:lpstr>Juli!Drucktitel</vt:lpstr>
      <vt:lpstr>Juni!Drucktitel</vt:lpstr>
      <vt:lpstr>Mai!Drucktitel</vt:lpstr>
      <vt:lpstr>März!Drucktitel</vt:lpstr>
      <vt:lpstr>November!Drucktitel</vt:lpstr>
      <vt:lpstr>Oktober!Drucktitel</vt:lpstr>
      <vt:lpstr>September!Drucktitel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Blutdruck Tagebuch 2026</dc:title>
  <dc:subject/>
  <dc:creator>Peter Minges</dc:creator>
  <cp:keywords/>
  <dc:description/>
  <cp:lastModifiedBy>Peter Minges</cp:lastModifiedBy>
  <dcterms:created xsi:type="dcterms:W3CDTF">2025-12-17T12:30:07Z</dcterms:created>
  <dcterms:modified xsi:type="dcterms:W3CDTF">2025-12-20T15:09:31Z</dcterms:modified>
  <cp:category/>
</cp:coreProperties>
</file>